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 17" sheetId="5" r:id="rId5"/>
    <sheet name="грудень" sheetId="6" r:id="rId6"/>
    <sheet name="лютий (весь бюдж розв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<sst xmlns="http://schemas.openxmlformats.org/spreadsheetml/2006/main" count="1049" uniqueCount="216">
  <si>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</si>
  <si>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</si>
  <si>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</si>
  <si>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</si>
  <si>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</si>
  <si>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</si>
  <si>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</si>
  <si>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</si>
  <si>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</si>
  <si>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</si>
  <si>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</si>
  <si>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</si>
  <si>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</si>
  <si>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</si>
  <si>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</si>
  <si>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</si>
  <si>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</si>
  <si>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</si>
  <si>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</si>
  <si>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</si>
  <si>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</si>
  <si>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</si>
  <si>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</si>
  <si>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</si>
  <si>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</si>
  <si>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</si>
  <si>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</si>
  <si>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</si>
  <si>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</si>
  <si>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</si>
  <si>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</si>
  <si>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</si>
  <si>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</si>
  <si>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</si>
  <si>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</si>
  <si>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</si>
  <si>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</si>
  <si>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</si>
  <si>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</si>
  <si>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</si>
  <si>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</si>
  <si>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</si>
  <si>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</si>
  <si>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</si>
  <si>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</si>
  <si>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</si>
  <si>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</si>
  <si>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</si>
  <si>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</si>
  <si>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</si>
  <si>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</si>
  <si>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</si>
  <si>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</si>
  <si>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</si>
  <si>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</si>
  <si>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</si>
  <si>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</si>
  <si>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</si>
  <si>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</si>
  <si>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</si>
  <si>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</si>
  <si>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</si>
  <si>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</si>
  <si>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</si>
  <si>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</si>
  <si>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</si>
  <si>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</si>
  <si>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</si>
  <si>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</si>
  <si>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</si>
  <si>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</si>
  <si>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</si>
  <si>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</si>
  <si>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</si>
  <si>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</si>
  <si>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</si>
  <si>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</si>
  <si>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</si>
  <si>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</si>
  <si>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</si>
  <si>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</si>
  <si>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</si>
  <si>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</si>
  <si>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</si>
  <si>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</si>
  <si>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</si>
  <si>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</si>
  <si>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</si>
  <si>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</si>
  <si>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</si>
  <si>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</si>
  <si>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</si>
  <si>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</si>
  <si>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</si>
  <si>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</si>
  <si>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</si>
  <si>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</si>
  <si>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</si>
  <si>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</si>
  <si>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</si>
  <si>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</si>
  <si>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</si>
  <si>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</si>
  <si>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</si>
  <si>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</si>
  <si>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</si>
  <si>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</si>
  <si>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</si>
  <si>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</si>
  <si>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</si>
  <si>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</si>
  <si>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</si>
  <si>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</si>
  <si>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</si>
  <si>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</si>
  <si>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</si>
  <si>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</si>
  <si>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</si>
  <si>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</si>
  <si>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</si>
  <si>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</si>
  <si>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</si>
  <si>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</si>
  <si>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</si>
  <si>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</si>
  <si>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</si>
  <si>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</si>
  <si>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</si>
  <si>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</si>
  <si>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</si>
  <si>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</si>
  <si>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</si>
  <si>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</si>
  <si>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</si>
  <si>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</si>
  <si>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</si>
  <si>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</si>
  <si>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</si>
  <si>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</si>
  <si>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</si>
  <si>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</si>
  <si>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</si>
  <si>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</si>
  <si>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</si>
  <si>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</si>
  <si>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</si>
  <si>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</si>
  <si>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</si>
  <si>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</si>
  <si>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</si>
  <si>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</si>
  <si>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</si>
  <si>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</si>
  <si>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</si>
  <si>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</si>
  <si>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</si>
  <si>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</si>
  <si>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</si>
  <si>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</si>
  <si>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</si>
  <si>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</si>
  <si>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</si>
  <si>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</si>
  <si>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</si>
  <si>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</si>
  <si>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</si>
  <si>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</si>
  <si>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</si>
  <si>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</si>
  <si>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</si>
  <si>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</si>
  <si>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</si>
  <si>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</si>
  <si>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</si>
  <si>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</si>
  <si>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</si>
  <si>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</si>
  <si>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</si>
  <si>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</si>
  <si>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</si>
  <si>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</si>
  <si>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</si>
  <si>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</si>
  <si>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</si>
  <si>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</si>
  <si>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</si>
  <si>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</si>
  <si>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</si>
  <si>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</si>
  <si>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</si>
  <si>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</si>
  <si>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</si>
  <si>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</si>
  <si>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</si>
  <si>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</si>
  <si>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</si>
  <si>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</si>
  <si>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</si>
  <si>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</si>
  <si>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</si>
  <si>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</si>
  <si>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</si>
  <si>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</si>
  <si>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</si>
  <si>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</si>
  <si>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</si>
  <si>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</si>
  <si>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</si>
  <si>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</si>
  <si>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</si>
  <si>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</si>
  <si>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</si>
  <si>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</si>
  <si>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зарахавувалось і пальне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</si>
  <si>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15.05.2017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</si>
  <si>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13.05.17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</si>
</sst>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Calibri"/>
      <family val="2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2" fontId="82" fillId="39" borderId="10" xfId="0" applyNumberFormat="1" applyFont="1" applyFill="1" applyBorder="1" applyAlignment="1">
      <alignment/>
    </xf>
    <xf numFmtId="191" fontId="3" fillId="0" borderId="0" xfId="55" applyNumberFormat="1" applyFont="1" applyProtection="1">
      <alignment/>
      <protection/>
    </xf>
    <xf numFmtId="182" fontId="82" fillId="39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 applyProtection="1">
      <alignment/>
      <protection/>
    </xf>
    <xf numFmtId="0" fontId="3" fillId="0" borderId="10" xfId="55" applyFont="1" applyBorder="1" applyProtection="1">
      <alignment/>
      <protection/>
    </xf>
    <xf numFmtId="182" fontId="39" fillId="0" borderId="10" xfId="0" applyNumberFormat="1" applyFont="1" applyBorder="1" applyAlignment="1">
      <alignment/>
    </xf>
    <xf numFmtId="182" fontId="3" fillId="40" borderId="10" xfId="0" applyNumberFormat="1" applyFont="1" applyFill="1" applyBorder="1" applyAlignment="1" applyProtection="1">
      <alignment horizontal="right"/>
      <protection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3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4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3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5" fillId="0" borderId="0" xfId="0" applyNumberFormat="1" applyFont="1" applyAlignment="1" applyProtection="1">
      <alignment/>
      <protection/>
    </xf>
    <xf numFmtId="4" fontId="85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41" borderId="10" xfId="55" applyFont="1" applyFill="1" applyBorder="1" applyProtection="1">
      <alignment/>
      <protection/>
    </xf>
    <xf numFmtId="192" fontId="82" fillId="41" borderId="10" xfId="0" applyNumberFormat="1" applyFont="1" applyFill="1" applyBorder="1" applyAlignment="1">
      <alignment/>
    </xf>
    <xf numFmtId="182" fontId="82" fillId="41" borderId="10" xfId="0" applyNumberFormat="1" applyFont="1" applyFill="1" applyBorder="1" applyAlignment="1">
      <alignment/>
    </xf>
    <xf numFmtId="182" fontId="3" fillId="41" borderId="10" xfId="0" applyNumberFormat="1" applyFont="1" applyFill="1" applyBorder="1" applyAlignment="1" applyProtection="1">
      <alignment horizontal="right"/>
      <protection/>
    </xf>
    <xf numFmtId="182" fontId="3" fillId="41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3" fillId="0" borderId="0" xfId="55" applyFont="1" applyAlignment="1" applyProtection="1">
      <alignment horizontal="center"/>
      <protection/>
    </xf>
    <xf numFmtId="0" fontId="83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3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5">
        <row r="6">
          <cell r="G6">
            <v>9337.19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24"/>
  <sheetViews>
    <sheetView tabSelected="1" zoomScale="77" zoomScaleNormal="77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28" sqref="F12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1" t="s">
        <v>214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86"/>
      <c r="S1" s="86"/>
      <c r="T1" s="86"/>
      <c r="U1" s="87"/>
    </row>
    <row r="2" spans="2:21" s="1" customFormat="1" ht="15.75" customHeight="1">
      <c r="B2" s="322"/>
      <c r="C2" s="322"/>
      <c r="D2" s="322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23"/>
      <c r="B3" s="325"/>
      <c r="C3" s="326" t="s">
        <v>0</v>
      </c>
      <c r="D3" s="327" t="s">
        <v>151</v>
      </c>
      <c r="E3" s="32"/>
      <c r="F3" s="328" t="s">
        <v>26</v>
      </c>
      <c r="G3" s="329"/>
      <c r="H3" s="329"/>
      <c r="I3" s="329"/>
      <c r="J3" s="330"/>
      <c r="K3" s="83"/>
      <c r="L3" s="83"/>
      <c r="M3" s="83"/>
      <c r="N3" s="331" t="s">
        <v>209</v>
      </c>
      <c r="O3" s="332" t="s">
        <v>210</v>
      </c>
      <c r="P3" s="332"/>
      <c r="Q3" s="332"/>
      <c r="R3" s="332"/>
      <c r="S3" s="332"/>
      <c r="T3" s="332"/>
      <c r="U3" s="332"/>
    </row>
    <row r="4" spans="1:21" ht="22.5" customHeight="1">
      <c r="A4" s="323"/>
      <c r="B4" s="325"/>
      <c r="C4" s="326"/>
      <c r="D4" s="327"/>
      <c r="E4" s="333" t="s">
        <v>206</v>
      </c>
      <c r="F4" s="315" t="s">
        <v>33</v>
      </c>
      <c r="G4" s="305" t="s">
        <v>207</v>
      </c>
      <c r="H4" s="317" t="s">
        <v>208</v>
      </c>
      <c r="I4" s="305" t="s">
        <v>138</v>
      </c>
      <c r="J4" s="317" t="s">
        <v>139</v>
      </c>
      <c r="K4" s="85" t="s">
        <v>141</v>
      </c>
      <c r="L4" s="204" t="s">
        <v>113</v>
      </c>
      <c r="M4" s="90" t="s">
        <v>63</v>
      </c>
      <c r="N4" s="317"/>
      <c r="O4" s="319" t="s">
        <v>215</v>
      </c>
      <c r="P4" s="305" t="s">
        <v>49</v>
      </c>
      <c r="Q4" s="30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24"/>
      <c r="B5" s="325"/>
      <c r="C5" s="326"/>
      <c r="D5" s="327"/>
      <c r="E5" s="334"/>
      <c r="F5" s="316"/>
      <c r="G5" s="306"/>
      <c r="H5" s="318"/>
      <c r="I5" s="306"/>
      <c r="J5" s="318"/>
      <c r="K5" s="308" t="s">
        <v>212</v>
      </c>
      <c r="L5" s="309"/>
      <c r="M5" s="310"/>
      <c r="N5" s="318"/>
      <c r="O5" s="320"/>
      <c r="P5" s="306"/>
      <c r="Q5" s="307"/>
      <c r="R5" s="311" t="s">
        <v>211</v>
      </c>
      <c r="S5" s="312"/>
      <c r="T5" s="313" t="s">
        <v>202</v>
      </c>
      <c r="U5" s="313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504703.6</v>
      </c>
      <c r="F8" s="151">
        <f>F9+F15+F18+F19+F23+F40</f>
        <v>433458.27999999997</v>
      </c>
      <c r="G8" s="151">
        <f aca="true" t="shared" si="0" ref="G8:G40">F8-E8</f>
        <v>-71245.32</v>
      </c>
      <c r="H8" s="152">
        <f>F8/E8*100</f>
        <v>85.88373056978392</v>
      </c>
      <c r="I8" s="153">
        <f>F8-D8</f>
        <v>-864992.8200000001</v>
      </c>
      <c r="J8" s="153">
        <f>F8/D8*100</f>
        <v>33.38271884093286</v>
      </c>
      <c r="K8" s="151">
        <v>374994.96</v>
      </c>
      <c r="L8" s="151">
        <f aca="true" t="shared" si="1" ref="L8:L54">F8-K8</f>
        <v>58463.31999999995</v>
      </c>
      <c r="M8" s="205">
        <f aca="true" t="shared" si="2" ref="M8:M31">F8/K8</f>
        <v>1.1559042820202168</v>
      </c>
      <c r="N8" s="151">
        <f>N9+N15+N18+N19+N23+N17</f>
        <v>106726.09999999998</v>
      </c>
      <c r="O8" s="151">
        <f>O9+O15+O18+O19+O23+O17</f>
        <v>33146.024</v>
      </c>
      <c r="P8" s="151">
        <f>O8-N8</f>
        <v>-73580.07599999997</v>
      </c>
      <c r="Q8" s="151">
        <f>O8/N8*100</f>
        <v>31.057092876063123</v>
      </c>
      <c r="R8" s="15">
        <f>R9+R15+R18+R19+R23</f>
        <v>104639</v>
      </c>
      <c r="S8" s="15">
        <f>O8-R8</f>
        <v>-71492.976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243100.82</v>
      </c>
      <c r="G9" s="150">
        <f t="shared" si="0"/>
        <v>-35739.17999999999</v>
      </c>
      <c r="H9" s="157">
        <f>F9/E9*100</f>
        <v>87.182907760723</v>
      </c>
      <c r="I9" s="158">
        <f>F9-D9</f>
        <v>-523544.18</v>
      </c>
      <c r="J9" s="158">
        <f>F9/D9*100</f>
        <v>31.709698752356047</v>
      </c>
      <c r="K9" s="227">
        <v>199100.92</v>
      </c>
      <c r="L9" s="159">
        <f t="shared" si="1"/>
        <v>43999.899999999994</v>
      </c>
      <c r="M9" s="206">
        <f t="shared" si="2"/>
        <v>1.22099295171514</v>
      </c>
      <c r="N9" s="157">
        <f>E9-квітень!E9</f>
        <v>57980</v>
      </c>
      <c r="O9" s="160">
        <f>F9-квітень!F9</f>
        <v>20004.717999999993</v>
      </c>
      <c r="P9" s="161">
        <f>O9-N9</f>
        <v>-37975.28200000001</v>
      </c>
      <c r="Q9" s="158">
        <f>O9/N9*100</f>
        <v>34.50279061745428</v>
      </c>
      <c r="R9" s="100">
        <v>57980</v>
      </c>
      <c r="S9" s="100">
        <f>O9-R9</f>
        <v>-37975.28200000001</v>
      </c>
      <c r="T9" s="100">
        <f>березень!F9+квітень!R9</f>
        <v>223567.36</v>
      </c>
      <c r="U9" s="100">
        <f>F9-T9</f>
        <v>19533.46000000002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222845.86</v>
      </c>
      <c r="G10" s="103">
        <f t="shared" si="0"/>
        <v>-30314.140000000014</v>
      </c>
      <c r="H10" s="30">
        <f aca="true" t="shared" si="3" ref="H10:H39">F10/E10*100</f>
        <v>88.02569916258493</v>
      </c>
      <c r="I10" s="104">
        <f aca="true" t="shared" si="4" ref="I10:I40">F10-D10</f>
        <v>-478471.14</v>
      </c>
      <c r="J10" s="104">
        <f aca="true" t="shared" si="5" ref="J10:J39">F10/D10*100</f>
        <v>31.775339824929382</v>
      </c>
      <c r="K10" s="106">
        <v>174168.33</v>
      </c>
      <c r="L10" s="106">
        <f t="shared" si="1"/>
        <v>48677.53</v>
      </c>
      <c r="M10" s="207">
        <f t="shared" si="2"/>
        <v>1.2794855413725332</v>
      </c>
      <c r="N10" s="105">
        <f>E10-квітень!E10</f>
        <v>53024</v>
      </c>
      <c r="O10" s="144">
        <f>F10-квітень!F10</f>
        <v>18480</v>
      </c>
      <c r="P10" s="106">
        <f aca="true" t="shared" si="6" ref="P10:P40">O10-N10</f>
        <v>-34544</v>
      </c>
      <c r="Q10" s="104">
        <f aca="true" t="shared" si="7" ref="Q10:Q27">O10/N10*100</f>
        <v>34.85214242607121</v>
      </c>
      <c r="R10" s="37"/>
      <c r="S10" s="100">
        <f aca="true" t="shared" si="8" ref="S10:S35">O10-R10</f>
        <v>18480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13126.52</v>
      </c>
      <c r="G11" s="103">
        <f t="shared" si="0"/>
        <v>-5233.48</v>
      </c>
      <c r="H11" s="30">
        <f t="shared" si="3"/>
        <v>71.49520697167756</v>
      </c>
      <c r="I11" s="104">
        <f t="shared" si="4"/>
        <v>-33379.479999999996</v>
      </c>
      <c r="J11" s="104">
        <f t="shared" si="5"/>
        <v>28.22543327742657</v>
      </c>
      <c r="K11" s="106">
        <v>14679.25</v>
      </c>
      <c r="L11" s="106">
        <f t="shared" si="1"/>
        <v>-1552.7299999999996</v>
      </c>
      <c r="M11" s="207">
        <f t="shared" si="2"/>
        <v>0.8942227974862477</v>
      </c>
      <c r="N11" s="105">
        <f>E11-квітень!E11</f>
        <v>3660</v>
      </c>
      <c r="O11" s="144">
        <f>F11-квітень!F11</f>
        <v>697.3700000000008</v>
      </c>
      <c r="P11" s="106">
        <f t="shared" si="6"/>
        <v>-2962.629999999999</v>
      </c>
      <c r="Q11" s="104">
        <f t="shared" si="7"/>
        <v>19.053825136612044</v>
      </c>
      <c r="R11" s="37"/>
      <c r="S11" s="100">
        <f t="shared" si="8"/>
        <v>697.3700000000008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2943.49</v>
      </c>
      <c r="G12" s="103">
        <f t="shared" si="0"/>
        <v>3.4899999999997817</v>
      </c>
      <c r="H12" s="30">
        <f t="shared" si="3"/>
        <v>100.11870748299319</v>
      </c>
      <c r="I12" s="104">
        <f t="shared" si="4"/>
        <v>-5336.51</v>
      </c>
      <c r="J12" s="104">
        <f t="shared" si="5"/>
        <v>35.549396135265695</v>
      </c>
      <c r="K12" s="106">
        <v>4583.23</v>
      </c>
      <c r="L12" s="106">
        <f t="shared" si="1"/>
        <v>-1639.7399999999998</v>
      </c>
      <c r="M12" s="207">
        <f t="shared" si="2"/>
        <v>0.6422304793780805</v>
      </c>
      <c r="N12" s="105">
        <f>E12-квітень!E12</f>
        <v>600</v>
      </c>
      <c r="O12" s="144">
        <f>F12-квітень!F12</f>
        <v>333.89999999999964</v>
      </c>
      <c r="P12" s="106">
        <f t="shared" si="6"/>
        <v>-266.10000000000036</v>
      </c>
      <c r="Q12" s="104">
        <f t="shared" si="7"/>
        <v>55.64999999999994</v>
      </c>
      <c r="R12" s="37"/>
      <c r="S12" s="100">
        <f t="shared" si="8"/>
        <v>333.89999999999964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3579.4</v>
      </c>
      <c r="G13" s="103">
        <f t="shared" si="0"/>
        <v>-320.5999999999999</v>
      </c>
      <c r="H13" s="30">
        <f t="shared" si="3"/>
        <v>91.77948717948719</v>
      </c>
      <c r="I13" s="104">
        <f t="shared" si="4"/>
        <v>-5810.6</v>
      </c>
      <c r="J13" s="104">
        <f t="shared" si="5"/>
        <v>38.119275825346115</v>
      </c>
      <c r="K13" s="106">
        <v>3763.44</v>
      </c>
      <c r="L13" s="106">
        <f t="shared" si="1"/>
        <v>-184.03999999999996</v>
      </c>
      <c r="M13" s="207">
        <f t="shared" si="2"/>
        <v>0.9510979316795273</v>
      </c>
      <c r="N13" s="105">
        <f>E13-квітень!E13</f>
        <v>600</v>
      </c>
      <c r="O13" s="144">
        <f>F13-квітень!F13</f>
        <v>370.07000000000016</v>
      </c>
      <c r="P13" s="106">
        <f t="shared" si="6"/>
        <v>-229.92999999999984</v>
      </c>
      <c r="Q13" s="104">
        <f t="shared" si="7"/>
        <v>61.678333333333356</v>
      </c>
      <c r="R13" s="37"/>
      <c r="S13" s="100">
        <f t="shared" si="8"/>
        <v>370.07000000000016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605.55</v>
      </c>
      <c r="G14" s="103">
        <f t="shared" si="0"/>
        <v>125.54999999999995</v>
      </c>
      <c r="H14" s="30">
        <f t="shared" si="3"/>
        <v>126.15624999999999</v>
      </c>
      <c r="I14" s="104">
        <f t="shared" si="4"/>
        <v>-546.45</v>
      </c>
      <c r="J14" s="104">
        <f t="shared" si="5"/>
        <v>52.565104166666664</v>
      </c>
      <c r="K14" s="106">
        <v>1906.68</v>
      </c>
      <c r="L14" s="106">
        <f t="shared" si="1"/>
        <v>-1301.13</v>
      </c>
      <c r="M14" s="207">
        <f t="shared" si="2"/>
        <v>0.31759393290956006</v>
      </c>
      <c r="N14" s="105">
        <f>E14-квітень!E14</f>
        <v>96</v>
      </c>
      <c r="O14" s="144">
        <f>F14-квітень!F14</f>
        <v>123.37999999999994</v>
      </c>
      <c r="P14" s="106">
        <f t="shared" si="6"/>
        <v>27.37999999999994</v>
      </c>
      <c r="Q14" s="104">
        <f t="shared" si="7"/>
        <v>128.52083333333326</v>
      </c>
      <c r="R14" s="37"/>
      <c r="S14" s="100">
        <f t="shared" si="8"/>
        <v>123.37999999999994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-62</v>
      </c>
      <c r="G15" s="150">
        <f t="shared" si="0"/>
        <v>-403</v>
      </c>
      <c r="H15" s="157">
        <f>F15/E15*100</f>
        <v>-18.181818181818183</v>
      </c>
      <c r="I15" s="158">
        <f t="shared" si="4"/>
        <v>-613</v>
      </c>
      <c r="J15" s="158">
        <f>F15/D15*100</f>
        <v>-11.252268602540836</v>
      </c>
      <c r="K15" s="161">
        <v>309.24</v>
      </c>
      <c r="L15" s="161">
        <f t="shared" si="1"/>
        <v>-371.24</v>
      </c>
      <c r="M15" s="208">
        <f t="shared" si="2"/>
        <v>-0.20049152761609107</v>
      </c>
      <c r="N15" s="164">
        <f>E15-квітень!E15</f>
        <v>170</v>
      </c>
      <c r="O15" s="168">
        <f>F15-квітень!F15</f>
        <v>254.36</v>
      </c>
      <c r="P15" s="161">
        <f t="shared" si="6"/>
        <v>84.36000000000001</v>
      </c>
      <c r="Q15" s="158"/>
      <c r="R15" s="37">
        <v>150</v>
      </c>
      <c r="S15" s="100">
        <f t="shared" si="8"/>
        <v>104.36000000000001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E16-квітень!E16</f>
        <v>0</v>
      </c>
      <c r="O16" s="168">
        <f>F16-квітень!F16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E17-квітень!E17</f>
        <v>0</v>
      </c>
      <c r="O17" s="168">
        <f>F17-квітень!F17</f>
        <v>0</v>
      </c>
      <c r="P17" s="167">
        <f t="shared" si="6"/>
        <v>0</v>
      </c>
      <c r="Q17" s="158" t="e">
        <f t="shared" si="7"/>
        <v>#DIV/0!</v>
      </c>
      <c r="R17" s="104"/>
      <c r="S17" s="100">
        <f t="shared" si="8"/>
        <v>0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E18-квітень!E18</f>
        <v>0</v>
      </c>
      <c r="O18" s="168">
        <f>F18-квітень!F18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  <c r="T18" s="37"/>
      <c r="U18" s="94"/>
    </row>
    <row r="19" spans="1:21" s="6" customFormat="1" ht="18">
      <c r="A19" s="8"/>
      <c r="B19" s="13" t="s">
        <v>180</v>
      </c>
      <c r="C19" s="43"/>
      <c r="D19" s="150">
        <f>D20+D21+D22</f>
        <v>130000</v>
      </c>
      <c r="E19" s="150">
        <v>48400</v>
      </c>
      <c r="F19" s="156">
        <v>37929.39</v>
      </c>
      <c r="G19" s="162">
        <f t="shared" si="0"/>
        <v>-10470.61</v>
      </c>
      <c r="H19" s="164">
        <f t="shared" si="3"/>
        <v>78.36650826446281</v>
      </c>
      <c r="I19" s="165">
        <f t="shared" si="4"/>
        <v>-92070.61</v>
      </c>
      <c r="J19" s="165">
        <f t="shared" si="5"/>
        <v>29.176453846153844</v>
      </c>
      <c r="K19" s="161">
        <v>35230.56</v>
      </c>
      <c r="L19" s="167">
        <f t="shared" si="1"/>
        <v>2698.8300000000017</v>
      </c>
      <c r="M19" s="213">
        <f t="shared" si="2"/>
        <v>1.0766047999237027</v>
      </c>
      <c r="N19" s="164">
        <f>E19-квітень!E19</f>
        <v>10500</v>
      </c>
      <c r="O19" s="168">
        <f>F19-квітень!F19</f>
        <v>1824.6259999999966</v>
      </c>
      <c r="P19" s="167">
        <f t="shared" si="6"/>
        <v>-8675.374000000003</v>
      </c>
      <c r="Q19" s="165">
        <f t="shared" si="7"/>
        <v>17.377390476190442</v>
      </c>
      <c r="R19" s="37">
        <v>9450</v>
      </c>
      <c r="S19" s="100">
        <f t="shared" si="8"/>
        <v>-7625.374000000003</v>
      </c>
      <c r="T19" s="37"/>
      <c r="U19" s="94"/>
    </row>
    <row r="20" spans="1:21" s="6" customFormat="1" ht="61.5">
      <c r="A20" s="8"/>
      <c r="B20" s="257" t="s">
        <v>213</v>
      </c>
      <c r="C20" s="123">
        <v>14040000</v>
      </c>
      <c r="D20" s="258">
        <v>76500</v>
      </c>
      <c r="E20" s="258">
        <v>29650</v>
      </c>
      <c r="F20" s="201">
        <v>22189.76</v>
      </c>
      <c r="G20" s="258">
        <f t="shared" si="0"/>
        <v>-7460.240000000002</v>
      </c>
      <c r="H20" s="195">
        <f t="shared" si="3"/>
        <v>74.83898819561551</v>
      </c>
      <c r="I20" s="259">
        <f t="shared" si="4"/>
        <v>-54310.240000000005</v>
      </c>
      <c r="J20" s="259">
        <f t="shared" si="5"/>
        <v>29.00622222222222</v>
      </c>
      <c r="K20" s="260">
        <v>35230.56</v>
      </c>
      <c r="L20" s="166">
        <f t="shared" si="1"/>
        <v>-13040.8</v>
      </c>
      <c r="M20" s="261">
        <f t="shared" si="2"/>
        <v>0.6298440899037654</v>
      </c>
      <c r="N20" s="195">
        <f>E20-квітень!E20</f>
        <v>5750</v>
      </c>
      <c r="O20" s="179">
        <f>F20-квітень!F20</f>
        <v>210.17999999999665</v>
      </c>
      <c r="P20" s="166">
        <f t="shared" si="6"/>
        <v>-5539.820000000003</v>
      </c>
      <c r="Q20" s="259">
        <f t="shared" si="7"/>
        <v>3.6553043478260285</v>
      </c>
      <c r="R20" s="107">
        <v>4450</v>
      </c>
      <c r="S20" s="100">
        <f t="shared" si="8"/>
        <v>-4239.820000000003</v>
      </c>
      <c r="T20" s="107"/>
      <c r="U20" s="108"/>
    </row>
    <row r="21" spans="1:21" s="6" customFormat="1" ht="18">
      <c r="A21" s="8"/>
      <c r="B21" s="257" t="s">
        <v>178</v>
      </c>
      <c r="C21" s="123">
        <v>14021900</v>
      </c>
      <c r="D21" s="258">
        <v>10700</v>
      </c>
      <c r="E21" s="258">
        <v>3950</v>
      </c>
      <c r="F21" s="201">
        <v>3202.77</v>
      </c>
      <c r="G21" s="258">
        <f t="shared" si="0"/>
        <v>-747.23</v>
      </c>
      <c r="H21" s="195"/>
      <c r="I21" s="259">
        <f t="shared" si="4"/>
        <v>-7497.23</v>
      </c>
      <c r="J21" s="259">
        <f t="shared" si="5"/>
        <v>29.93242990654206</v>
      </c>
      <c r="K21" s="260">
        <v>0</v>
      </c>
      <c r="L21" s="166">
        <f t="shared" si="1"/>
        <v>3202.77</v>
      </c>
      <c r="M21" s="261"/>
      <c r="N21" s="195">
        <f>E21-квітень!E21</f>
        <v>950</v>
      </c>
      <c r="O21" s="179">
        <f>F21-квітень!F21</f>
        <v>83.82999999999993</v>
      </c>
      <c r="P21" s="166">
        <f t="shared" si="6"/>
        <v>-866.1700000000001</v>
      </c>
      <c r="Q21" s="259"/>
      <c r="R21" s="107">
        <v>1000</v>
      </c>
      <c r="S21" s="100">
        <f t="shared" si="8"/>
        <v>-916.1700000000001</v>
      </c>
      <c r="T21" s="107"/>
      <c r="U21" s="108"/>
    </row>
    <row r="22" spans="1:21" s="6" customFormat="1" ht="18">
      <c r="A22" s="8"/>
      <c r="B22" s="257" t="s">
        <v>179</v>
      </c>
      <c r="C22" s="123">
        <v>14031900</v>
      </c>
      <c r="D22" s="258">
        <v>42800</v>
      </c>
      <c r="E22" s="258">
        <v>14800</v>
      </c>
      <c r="F22" s="201">
        <v>12536.86</v>
      </c>
      <c r="G22" s="258">
        <f t="shared" si="0"/>
        <v>-2263.1399999999994</v>
      </c>
      <c r="H22" s="195"/>
      <c r="I22" s="259">
        <f t="shared" si="4"/>
        <v>-30263.14</v>
      </c>
      <c r="J22" s="259">
        <f t="shared" si="5"/>
        <v>29.291728971962616</v>
      </c>
      <c r="K22" s="260">
        <v>0</v>
      </c>
      <c r="L22" s="166">
        <f t="shared" si="1"/>
        <v>12536.86</v>
      </c>
      <c r="M22" s="261"/>
      <c r="N22" s="195">
        <f>E22-квітень!E22</f>
        <v>3800</v>
      </c>
      <c r="O22" s="179">
        <f>F22-квітень!F22</f>
        <v>1530.6200000000008</v>
      </c>
      <c r="P22" s="166">
        <f t="shared" si="6"/>
        <v>-2269.379999999999</v>
      </c>
      <c r="Q22" s="259"/>
      <c r="R22" s="107">
        <v>4000</v>
      </c>
      <c r="S22" s="100">
        <f t="shared" si="8"/>
        <v>-2469.379999999999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152371.61</v>
      </c>
      <c r="G23" s="150">
        <f t="shared" si="0"/>
        <v>-24680.98999999999</v>
      </c>
      <c r="H23" s="157">
        <f t="shared" si="3"/>
        <v>86.06008045066832</v>
      </c>
      <c r="I23" s="158">
        <f t="shared" si="4"/>
        <v>-248758.49</v>
      </c>
      <c r="J23" s="158">
        <f t="shared" si="5"/>
        <v>37.985583729568035</v>
      </c>
      <c r="K23" s="158">
        <v>140248.27</v>
      </c>
      <c r="L23" s="161">
        <f t="shared" si="1"/>
        <v>12123.339999999997</v>
      </c>
      <c r="M23" s="209">
        <f t="shared" si="2"/>
        <v>1.0864419931882225</v>
      </c>
      <c r="N23" s="157">
        <f>E23-квітень!E23</f>
        <v>38076.09999999998</v>
      </c>
      <c r="O23" s="160">
        <f>F23-квітень!F23</f>
        <v>11062.320000000007</v>
      </c>
      <c r="P23" s="161">
        <f t="shared" si="6"/>
        <v>-27013.77999999997</v>
      </c>
      <c r="Q23" s="158">
        <f t="shared" si="7"/>
        <v>29.05318559411288</v>
      </c>
      <c r="R23" s="288">
        <f>R24+R32+R33+R34+R35</f>
        <v>37059</v>
      </c>
      <c r="S23" s="100">
        <f t="shared" si="8"/>
        <v>-25996.679999999993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69216.85</v>
      </c>
      <c r="G24" s="150">
        <f t="shared" si="0"/>
        <v>-13491.049999999988</v>
      </c>
      <c r="H24" s="157">
        <f t="shared" si="3"/>
        <v>83.68831756095851</v>
      </c>
      <c r="I24" s="158">
        <f t="shared" si="4"/>
        <v>-137404.15</v>
      </c>
      <c r="J24" s="158">
        <f t="shared" si="5"/>
        <v>33.499426486175174</v>
      </c>
      <c r="K24" s="158">
        <v>71540.14</v>
      </c>
      <c r="L24" s="161">
        <f t="shared" si="1"/>
        <v>-2323.2899999999936</v>
      </c>
      <c r="M24" s="209">
        <f t="shared" si="2"/>
        <v>0.9675246651739849</v>
      </c>
      <c r="N24" s="157">
        <f>E24-квітень!E24</f>
        <v>15364.099999999991</v>
      </c>
      <c r="O24" s="160">
        <f>F24-квітень!F24</f>
        <v>1539.8600000000006</v>
      </c>
      <c r="P24" s="161">
        <f t="shared" si="6"/>
        <v>-13824.23999999999</v>
      </c>
      <c r="Q24" s="158">
        <f t="shared" si="7"/>
        <v>10.02245494366739</v>
      </c>
      <c r="R24" s="107">
        <f>R25+R28+R29</f>
        <v>14352</v>
      </c>
      <c r="S24" s="100">
        <f t="shared" si="8"/>
        <v>-12812.14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9862.27</v>
      </c>
      <c r="G25" s="171">
        <f t="shared" si="0"/>
        <v>278.1700000000001</v>
      </c>
      <c r="H25" s="173">
        <f t="shared" si="3"/>
        <v>102.90241128535804</v>
      </c>
      <c r="I25" s="174">
        <f t="shared" si="4"/>
        <v>-12946.73</v>
      </c>
      <c r="J25" s="174">
        <f t="shared" si="5"/>
        <v>43.23850234556535</v>
      </c>
      <c r="K25" s="175">
        <v>8640.15</v>
      </c>
      <c r="L25" s="166">
        <f t="shared" si="1"/>
        <v>1222.1200000000008</v>
      </c>
      <c r="M25" s="215">
        <f t="shared" si="2"/>
        <v>1.1414466184036158</v>
      </c>
      <c r="N25" s="157">
        <f>E25-квітень!E25</f>
        <v>254.10000000000036</v>
      </c>
      <c r="O25" s="160">
        <f>F25-квітень!F25</f>
        <v>115.96000000000095</v>
      </c>
      <c r="P25" s="177">
        <f t="shared" si="6"/>
        <v>-138.13999999999942</v>
      </c>
      <c r="Q25" s="174">
        <f t="shared" si="7"/>
        <v>45.635576544667764</v>
      </c>
      <c r="R25" s="107">
        <v>347</v>
      </c>
      <c r="S25" s="100">
        <f t="shared" si="8"/>
        <v>-231.03999999999905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202.34</v>
      </c>
      <c r="G26" s="198">
        <f t="shared" si="0"/>
        <v>-402.65999999999997</v>
      </c>
      <c r="H26" s="199">
        <f t="shared" si="3"/>
        <v>33.444628099173556</v>
      </c>
      <c r="I26" s="200">
        <f t="shared" si="4"/>
        <v>-1619.96</v>
      </c>
      <c r="J26" s="200">
        <f t="shared" si="5"/>
        <v>11.10355045821215</v>
      </c>
      <c r="K26" s="200">
        <v>263.65</v>
      </c>
      <c r="L26" s="200">
        <f t="shared" si="1"/>
        <v>-61.309999999999974</v>
      </c>
      <c r="M26" s="228">
        <f t="shared" si="2"/>
        <v>0.7674568556798788</v>
      </c>
      <c r="N26" s="237">
        <f>E26-квітень!E26</f>
        <v>55</v>
      </c>
      <c r="O26" s="237">
        <f>F26-квітень!F26</f>
        <v>2.0999999999999943</v>
      </c>
      <c r="P26" s="200">
        <f t="shared" si="6"/>
        <v>-52.900000000000006</v>
      </c>
      <c r="Q26" s="200">
        <f t="shared" si="7"/>
        <v>3.818181818181808</v>
      </c>
      <c r="R26" s="107"/>
      <c r="S26" s="100">
        <f t="shared" si="8"/>
        <v>2.0999999999999943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9659.93</v>
      </c>
      <c r="G27" s="198">
        <f t="shared" si="0"/>
        <v>680.8299999999999</v>
      </c>
      <c r="H27" s="199">
        <f t="shared" si="3"/>
        <v>107.5823857624929</v>
      </c>
      <c r="I27" s="200">
        <f t="shared" si="4"/>
        <v>-11326.77</v>
      </c>
      <c r="J27" s="200">
        <f t="shared" si="5"/>
        <v>46.02881825155932</v>
      </c>
      <c r="K27" s="200">
        <v>8376.5</v>
      </c>
      <c r="L27" s="200">
        <f t="shared" si="1"/>
        <v>1283.4300000000003</v>
      </c>
      <c r="M27" s="228">
        <f t="shared" si="2"/>
        <v>1.153217931116815</v>
      </c>
      <c r="N27" s="237">
        <f>E27-квітень!E27</f>
        <v>199.10000000000036</v>
      </c>
      <c r="O27" s="237">
        <f>F27-квітень!F27</f>
        <v>113.86000000000058</v>
      </c>
      <c r="P27" s="200">
        <f t="shared" si="6"/>
        <v>-85.23999999999978</v>
      </c>
      <c r="Q27" s="200">
        <f t="shared" si="7"/>
        <v>57.18734304369683</v>
      </c>
      <c r="R27" s="107"/>
      <c r="S27" s="100">
        <f t="shared" si="8"/>
        <v>113.86000000000058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54.52</v>
      </c>
      <c r="G28" s="171">
        <f t="shared" si="0"/>
        <v>-74.28</v>
      </c>
      <c r="H28" s="173">
        <f t="shared" si="3"/>
        <v>42.32919254658385</v>
      </c>
      <c r="I28" s="174">
        <f t="shared" si="4"/>
        <v>-765.48</v>
      </c>
      <c r="J28" s="174">
        <f t="shared" si="5"/>
        <v>6.648780487804879</v>
      </c>
      <c r="K28" s="174">
        <v>420.08</v>
      </c>
      <c r="L28" s="174">
        <f t="shared" si="1"/>
        <v>-365.56</v>
      </c>
      <c r="M28" s="212">
        <f t="shared" si="2"/>
        <v>0.12978480289468675</v>
      </c>
      <c r="N28" s="195">
        <f>E28-квітень!E28</f>
        <v>5.000000000000014</v>
      </c>
      <c r="O28" s="179">
        <f>F28-квітень!F28</f>
        <v>-49.99999999999999</v>
      </c>
      <c r="P28" s="177">
        <f t="shared" si="6"/>
        <v>-55.00000000000001</v>
      </c>
      <c r="Q28" s="174">
        <f>O28/N28*100</f>
        <v>-999.9999999999969</v>
      </c>
      <c r="R28" s="107">
        <v>5</v>
      </c>
      <c r="S28" s="100">
        <f t="shared" si="8"/>
        <v>-54.99999999999999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59300.06</v>
      </c>
      <c r="G29" s="171">
        <f t="shared" si="0"/>
        <v>-13694.940000000002</v>
      </c>
      <c r="H29" s="173">
        <f t="shared" si="3"/>
        <v>81.23852318651961</v>
      </c>
      <c r="I29" s="174">
        <f t="shared" si="4"/>
        <v>-123691.94</v>
      </c>
      <c r="J29" s="174">
        <f t="shared" si="5"/>
        <v>32.40582101949812</v>
      </c>
      <c r="K29" s="175">
        <v>62479.91</v>
      </c>
      <c r="L29" s="175">
        <f t="shared" si="1"/>
        <v>-3179.850000000006</v>
      </c>
      <c r="M29" s="211">
        <f t="shared" si="2"/>
        <v>0.949106040645705</v>
      </c>
      <c r="N29" s="195">
        <f>E29-квітень!E29</f>
        <v>15105</v>
      </c>
      <c r="O29" s="179">
        <f>F29-квітень!F29</f>
        <v>1473.8999999999942</v>
      </c>
      <c r="P29" s="177">
        <f t="shared" si="6"/>
        <v>-13631.100000000006</v>
      </c>
      <c r="Q29" s="174">
        <f>O29/N29*100</f>
        <v>9.75769612711019</v>
      </c>
      <c r="R29" s="107">
        <v>14000</v>
      </c>
      <c r="S29" s="100">
        <f t="shared" si="8"/>
        <v>-12526.100000000006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19607.41</v>
      </c>
      <c r="G30" s="198">
        <f t="shared" si="0"/>
        <v>-2472.59</v>
      </c>
      <c r="H30" s="199">
        <f t="shared" si="3"/>
        <v>88.80167572463769</v>
      </c>
      <c r="I30" s="200">
        <f t="shared" si="4"/>
        <v>-37925.59</v>
      </c>
      <c r="J30" s="200">
        <f t="shared" si="5"/>
        <v>34.08028435854205</v>
      </c>
      <c r="K30" s="200">
        <v>19348.56</v>
      </c>
      <c r="L30" s="200">
        <f t="shared" si="1"/>
        <v>258.84999999999854</v>
      </c>
      <c r="M30" s="228">
        <f t="shared" si="2"/>
        <v>1.0133782565730989</v>
      </c>
      <c r="N30" s="237">
        <f>E30-квітень!E30</f>
        <v>4650</v>
      </c>
      <c r="O30" s="237">
        <f>F30-квітень!F30</f>
        <v>302.880000000001</v>
      </c>
      <c r="P30" s="200">
        <f t="shared" si="6"/>
        <v>-4347.119999999999</v>
      </c>
      <c r="Q30" s="200">
        <f>O30/N30*100</f>
        <v>6.513548387096796</v>
      </c>
      <c r="R30" s="107"/>
      <c r="S30" s="100">
        <f t="shared" si="8"/>
        <v>302.880000000001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39692.65</v>
      </c>
      <c r="G31" s="198">
        <f t="shared" si="0"/>
        <v>-11222.349999999999</v>
      </c>
      <c r="H31" s="199">
        <f t="shared" si="3"/>
        <v>77.95865658450359</v>
      </c>
      <c r="I31" s="200">
        <f t="shared" si="4"/>
        <v>-85766.35</v>
      </c>
      <c r="J31" s="200">
        <f t="shared" si="5"/>
        <v>31.637945464255257</v>
      </c>
      <c r="K31" s="200">
        <v>43131.35</v>
      </c>
      <c r="L31" s="200">
        <f t="shared" si="1"/>
        <v>-3438.699999999997</v>
      </c>
      <c r="M31" s="228">
        <f t="shared" si="2"/>
        <v>0.9202737683842496</v>
      </c>
      <c r="N31" s="237">
        <f>E31-квітень!E31</f>
        <v>10455</v>
      </c>
      <c r="O31" s="237">
        <f>F31-квітень!F31</f>
        <v>1171.020000000004</v>
      </c>
      <c r="P31" s="200">
        <f t="shared" si="6"/>
        <v>-9283.979999999996</v>
      </c>
      <c r="Q31" s="200">
        <f>O31/N31*100</f>
        <v>11.200573888091862</v>
      </c>
      <c r="R31" s="107"/>
      <c r="S31" s="100">
        <f t="shared" si="8"/>
        <v>1171.020000000004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E32-квітень!E32</f>
        <v>0</v>
      </c>
      <c r="O32" s="160">
        <f>F32-квітень!F32</f>
        <v>0</v>
      </c>
      <c r="P32" s="161">
        <f t="shared" si="6"/>
        <v>0</v>
      </c>
      <c r="Q32" s="158"/>
      <c r="R32" s="107"/>
      <c r="S32" s="100">
        <f t="shared" si="8"/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60.71</v>
      </c>
      <c r="G33" s="150">
        <f t="shared" si="0"/>
        <v>21.71</v>
      </c>
      <c r="H33" s="157">
        <f t="shared" si="3"/>
        <v>155.66666666666666</v>
      </c>
      <c r="I33" s="158">
        <f t="shared" si="4"/>
        <v>-54.29</v>
      </c>
      <c r="J33" s="158">
        <f t="shared" si="5"/>
        <v>52.791304347826085</v>
      </c>
      <c r="K33" s="158">
        <v>51.14</v>
      </c>
      <c r="L33" s="158">
        <f t="shared" si="1"/>
        <v>9.57</v>
      </c>
      <c r="M33" s="210">
        <f>F33/K33</f>
        <v>1.1871333594055533</v>
      </c>
      <c r="N33" s="157">
        <f>E33-квітень!E33</f>
        <v>12</v>
      </c>
      <c r="O33" s="160">
        <f>F33-квітень!F33</f>
        <v>8.300000000000004</v>
      </c>
      <c r="P33" s="161">
        <f t="shared" si="6"/>
        <v>-3.6999999999999957</v>
      </c>
      <c r="Q33" s="158">
        <f>O33/N33*100</f>
        <v>69.1666666666667</v>
      </c>
      <c r="R33" s="107">
        <v>7</v>
      </c>
      <c r="S33" s="100">
        <f t="shared" si="8"/>
        <v>1.3000000000000043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 t="shared" si="0"/>
        <v>-26.77</v>
      </c>
      <c r="H34" s="157"/>
      <c r="I34" s="158">
        <f t="shared" si="4"/>
        <v>-26.77</v>
      </c>
      <c r="J34" s="158"/>
      <c r="K34" s="158">
        <v>-109.72</v>
      </c>
      <c r="L34" s="158">
        <f t="shared" si="1"/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 t="shared" si="6"/>
        <v>0.5800000000000018</v>
      </c>
      <c r="Q34" s="158"/>
      <c r="R34" s="107"/>
      <c r="S34" s="100">
        <f t="shared" si="8"/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83120.62</v>
      </c>
      <c r="G35" s="162">
        <f t="shared" si="0"/>
        <v>-11185.080000000002</v>
      </c>
      <c r="H35" s="164">
        <f t="shared" si="3"/>
        <v>88.13955041953986</v>
      </c>
      <c r="I35" s="165">
        <f t="shared" si="4"/>
        <v>-111273.48000000001</v>
      </c>
      <c r="J35" s="165">
        <f t="shared" si="5"/>
        <v>42.758818297468906</v>
      </c>
      <c r="K35" s="178">
        <v>68766.7</v>
      </c>
      <c r="L35" s="178">
        <f>F35-K35</f>
        <v>14353.919999999998</v>
      </c>
      <c r="M35" s="226">
        <f>F35/K35</f>
        <v>1.2087335876230791</v>
      </c>
      <c r="N35" s="157">
        <f>E35-квітень!E35</f>
        <v>22700</v>
      </c>
      <c r="O35" s="160">
        <f>F35-квітень!F35</f>
        <v>9513.580000000002</v>
      </c>
      <c r="P35" s="167">
        <f t="shared" si="6"/>
        <v>-13186.419999999998</v>
      </c>
      <c r="Q35" s="165">
        <f>O35/N35*100</f>
        <v>41.91004405286344</v>
      </c>
      <c r="R35" s="107">
        <v>22700</v>
      </c>
      <c r="S35" s="100">
        <f t="shared" si="8"/>
        <v>-13186.419999999998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0.18</v>
      </c>
      <c r="L36" s="127">
        <f t="shared" si="1"/>
        <v>-0.18</v>
      </c>
      <c r="M36" s="216">
        <f aca="true" t="shared" si="9" ref="M36:M42">F36/K36</f>
        <v>0</v>
      </c>
      <c r="N36" s="105">
        <f>E36-квітень!E36</f>
        <v>0</v>
      </c>
      <c r="O36" s="144">
        <f>F36-квітень!F36</f>
        <v>0</v>
      </c>
      <c r="P36" s="106">
        <f t="shared" si="6"/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15993.69</v>
      </c>
      <c r="G37" s="103">
        <f t="shared" si="0"/>
        <v>-2926.3099999999995</v>
      </c>
      <c r="H37" s="105">
        <f t="shared" si="3"/>
        <v>84.53324524312896</v>
      </c>
      <c r="I37" s="104">
        <f t="shared" si="4"/>
        <v>-25006.309999999998</v>
      </c>
      <c r="J37" s="104">
        <f t="shared" si="5"/>
        <v>39.009</v>
      </c>
      <c r="K37" s="127">
        <v>17552.06</v>
      </c>
      <c r="L37" s="127">
        <f t="shared" si="1"/>
        <v>-1558.3700000000008</v>
      </c>
      <c r="M37" s="216">
        <f t="shared" si="9"/>
        <v>0.9112144101604028</v>
      </c>
      <c r="N37" s="105">
        <f>E37-квітень!E37</f>
        <v>5700</v>
      </c>
      <c r="O37" s="144">
        <f>F37-квітень!F37</f>
        <v>1995.2700000000004</v>
      </c>
      <c r="P37" s="106">
        <f t="shared" si="6"/>
        <v>-3704.7299999999996</v>
      </c>
      <c r="Q37" s="104">
        <f>O37/N37*100</f>
        <v>35.004736842105274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67103.84</v>
      </c>
      <c r="G38" s="103">
        <f t="shared" si="0"/>
        <v>-8256.160000000003</v>
      </c>
      <c r="H38" s="105">
        <f t="shared" si="3"/>
        <v>89.04437367303609</v>
      </c>
      <c r="I38" s="104">
        <f t="shared" si="4"/>
        <v>-86235.26000000001</v>
      </c>
      <c r="J38" s="104">
        <f t="shared" si="5"/>
        <v>43.761728091530465</v>
      </c>
      <c r="K38" s="127">
        <v>51200.46</v>
      </c>
      <c r="L38" s="127">
        <f t="shared" si="1"/>
        <v>15903.379999999997</v>
      </c>
      <c r="M38" s="216">
        <f t="shared" si="9"/>
        <v>1.3106100999873829</v>
      </c>
      <c r="N38" s="105">
        <f>E38-квітень!E38</f>
        <v>17000</v>
      </c>
      <c r="O38" s="144">
        <f>F38-квітень!F38</f>
        <v>7518.32</v>
      </c>
      <c r="P38" s="106">
        <f t="shared" si="6"/>
        <v>-9481.68</v>
      </c>
      <c r="Q38" s="104">
        <f>O38/N38*100</f>
        <v>44.22541176470588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 t="shared" si="0"/>
        <v>-2.6099999999999994</v>
      </c>
      <c r="H39" s="105">
        <f t="shared" si="3"/>
        <v>89.8443579766537</v>
      </c>
      <c r="I39" s="104">
        <f t="shared" si="4"/>
        <v>-31.91</v>
      </c>
      <c r="J39" s="104">
        <f t="shared" si="5"/>
        <v>41.981818181818184</v>
      </c>
      <c r="K39" s="127">
        <v>14.01</v>
      </c>
      <c r="L39" s="127">
        <f t="shared" si="1"/>
        <v>9.08</v>
      </c>
      <c r="M39" s="216">
        <f t="shared" si="9"/>
        <v>1.6481084939329051</v>
      </c>
      <c r="N39" s="105">
        <f>E39-квітень!E39</f>
        <v>0</v>
      </c>
      <c r="O39" s="144">
        <f>F39-квітень!F39</f>
        <v>0</v>
      </c>
      <c r="P39" s="106">
        <f t="shared" si="6"/>
        <v>0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/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E40-квітень!E40</f>
        <v>0</v>
      </c>
      <c r="O40" s="160">
        <f>F40-квітень!F40</f>
        <v>0</v>
      </c>
      <c r="P40" s="36">
        <f t="shared" si="6"/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92">
        <f>F42+F43+F44+F45+F46+F48+F50+F51+F52+F53+F54+F59+F60+F64+F47</f>
        <v>23941.809999999998</v>
      </c>
      <c r="G41" s="151">
        <f>G42+G43+G44+G45+G46+G48+G50+G51+G52+G53+G54+G59+G60+G64</f>
        <v>-815.7000000000004</v>
      </c>
      <c r="H41" s="152">
        <f>F41/E41*100</f>
        <v>96.55006795094626</v>
      </c>
      <c r="I41" s="153">
        <f>F41-D41</f>
        <v>-35083.19</v>
      </c>
      <c r="J41" s="153">
        <f>F41/D41*100</f>
        <v>40.562151630664964</v>
      </c>
      <c r="K41" s="151">
        <v>22840.42</v>
      </c>
      <c r="L41" s="151">
        <f t="shared" si="1"/>
        <v>1101.3899999999994</v>
      </c>
      <c r="M41" s="205">
        <f t="shared" si="9"/>
        <v>1.0482210922566222</v>
      </c>
      <c r="N41" s="151">
        <f>N42+N43+N44+N45+N46+N48+N50+N51+N52+N53+N54+N59+N60+N64+N47</f>
        <v>5362.8</v>
      </c>
      <c r="O41" s="151">
        <f>O42+O43+O44+O45+O46+O48+O50+O51+O52+O53+O54+O59+O60+O64+O47</f>
        <v>4503.913999999999</v>
      </c>
      <c r="P41" s="151">
        <f>P42+P43+P44+P45+P46+P48+P50+P51+P52+P53+P54+P59+P60+P64</f>
        <v>-852.0860000000011</v>
      </c>
      <c r="Q41" s="151">
        <f>O41/N41*100</f>
        <v>83.98437383456401</v>
      </c>
      <c r="R41" s="15">
        <f>R42+R43+R44+R45+R46+R47+R48+R50+R51+R52+R53+R54+R59+R60+R64</f>
        <v>5273.700000000001</v>
      </c>
      <c r="S41" s="15">
        <f>O41-R41</f>
        <v>-769.7860000000019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244.93</v>
      </c>
      <c r="G42" s="162">
        <f>F42-E42</f>
        <v>-15.069999999999993</v>
      </c>
      <c r="H42" s="164">
        <f aca="true" t="shared" si="10" ref="H42:H65">F42/E42*100</f>
        <v>94.20384615384616</v>
      </c>
      <c r="I42" s="165">
        <f>F42-D42</f>
        <v>-335.07</v>
      </c>
      <c r="J42" s="165">
        <f>F42/D42*100</f>
        <v>42.22931034482759</v>
      </c>
      <c r="K42" s="165">
        <v>240.17</v>
      </c>
      <c r="L42" s="165">
        <f t="shared" si="1"/>
        <v>4.760000000000019</v>
      </c>
      <c r="M42" s="218">
        <f t="shared" si="9"/>
        <v>1.019819294666278</v>
      </c>
      <c r="N42" s="164">
        <f>E42-квітень!E42</f>
        <v>180</v>
      </c>
      <c r="O42" s="168">
        <f>F42-квітень!F42</f>
        <v>425.79</v>
      </c>
      <c r="P42" s="167">
        <f>O42-N42</f>
        <v>245.79000000000002</v>
      </c>
      <c r="Q42" s="165">
        <f aca="true" t="shared" si="11" ref="Q42:Q65">O42/N42*100</f>
        <v>236.54999999999998</v>
      </c>
      <c r="R42" s="37">
        <v>420</v>
      </c>
      <c r="S42" s="37">
        <f>O42-R42</f>
        <v>5.7900000000000205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 aca="true" t="shared" si="12" ref="G43:G66">F43-E43</f>
        <v>-420.84000000000015</v>
      </c>
      <c r="H43" s="164">
        <f t="shared" si="10"/>
        <v>96.13908256880734</v>
      </c>
      <c r="I43" s="165">
        <f aca="true" t="shared" si="13" ref="I43:I66">F43-D43</f>
        <v>-19520.84</v>
      </c>
      <c r="J43" s="165">
        <f>F43/D43*100</f>
        <v>34.93053333333333</v>
      </c>
      <c r="K43" s="165">
        <v>10098.73</v>
      </c>
      <c r="L43" s="165">
        <f t="shared" si="1"/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 aca="true" t="shared" si="14" ref="P43:P66">O43-N43</f>
        <v>-127.70300000000043</v>
      </c>
      <c r="Q43" s="165">
        <f t="shared" si="11"/>
        <v>95.43917857142856</v>
      </c>
      <c r="R43" s="37">
        <v>2672.3</v>
      </c>
      <c r="S43" s="37">
        <f aca="true" t="shared" si="15" ref="S43:S66">O43-R43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 t="shared" si="12"/>
        <v>71.8</v>
      </c>
      <c r="H44" s="164">
        <f>F44/E44*100</f>
        <v>441.9047619047619</v>
      </c>
      <c r="I44" s="165">
        <f t="shared" si="13"/>
        <v>52.8</v>
      </c>
      <c r="J44" s="165">
        <f aca="true" t="shared" si="16" ref="J44:J65">F44/D44*100</f>
        <v>231.99999999999997</v>
      </c>
      <c r="K44" s="165">
        <v>27.51</v>
      </c>
      <c r="L44" s="165">
        <f t="shared" si="1"/>
        <v>65.28999999999999</v>
      </c>
      <c r="M44" s="218">
        <f aca="true" t="shared" si="17" ref="M44:M66">F44/K44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 t="shared" si="14"/>
        <v>8.99799999999999</v>
      </c>
      <c r="Q44" s="165">
        <f t="shared" si="11"/>
        <v>999.799999999999</v>
      </c>
      <c r="R44" s="37">
        <v>1</v>
      </c>
      <c r="S44" s="37">
        <f t="shared" si="15"/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E45-квітень!E45</f>
        <v>0</v>
      </c>
      <c r="O45" s="168">
        <f>F45-квітень!F45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427.88</v>
      </c>
      <c r="G46" s="162">
        <f t="shared" si="12"/>
        <v>321.88</v>
      </c>
      <c r="H46" s="164">
        <f t="shared" si="10"/>
        <v>403.66037735849056</v>
      </c>
      <c r="I46" s="165">
        <f t="shared" si="13"/>
        <v>167.88</v>
      </c>
      <c r="J46" s="165">
        <f t="shared" si="16"/>
        <v>164.56923076923076</v>
      </c>
      <c r="K46" s="165">
        <v>50.4</v>
      </c>
      <c r="L46" s="165">
        <f t="shared" si="1"/>
        <v>377.48</v>
      </c>
      <c r="M46" s="218">
        <f t="shared" si="17"/>
        <v>8.48968253968254</v>
      </c>
      <c r="N46" s="164">
        <f>E46-квітень!E46</f>
        <v>22</v>
      </c>
      <c r="O46" s="168">
        <f>F46-квітень!F46</f>
        <v>33.39699999999999</v>
      </c>
      <c r="P46" s="167">
        <f t="shared" si="14"/>
        <v>11.396999999999991</v>
      </c>
      <c r="Q46" s="165">
        <f t="shared" si="11"/>
        <v>151.80454545454543</v>
      </c>
      <c r="R46" s="37">
        <v>22</v>
      </c>
      <c r="S46" s="37">
        <f t="shared" si="15"/>
        <v>11.396999999999991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 t="shared" si="12"/>
        <v>-39.79</v>
      </c>
      <c r="H47" s="164">
        <f t="shared" si="10"/>
        <v>2.4754901960784315</v>
      </c>
      <c r="I47" s="165">
        <f t="shared" si="13"/>
        <v>-96.49</v>
      </c>
      <c r="J47" s="165">
        <f t="shared" si="16"/>
        <v>1.035897435897436</v>
      </c>
      <c r="K47" s="165">
        <v>6.8</v>
      </c>
      <c r="L47" s="165">
        <f t="shared" si="1"/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 t="shared" si="14"/>
        <v>-6.799999999999997</v>
      </c>
      <c r="Q47" s="165">
        <f t="shared" si="11"/>
        <v>0</v>
      </c>
      <c r="R47" s="37">
        <v>6.8</v>
      </c>
      <c r="S47" s="37">
        <f t="shared" si="15"/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427.5</v>
      </c>
      <c r="G48" s="162">
        <f t="shared" si="12"/>
        <v>27.5</v>
      </c>
      <c r="H48" s="164">
        <f t="shared" si="10"/>
        <v>106.87500000000001</v>
      </c>
      <c r="I48" s="165">
        <f t="shared" si="13"/>
        <v>-302.5</v>
      </c>
      <c r="J48" s="165">
        <f t="shared" si="16"/>
        <v>58.56164383561644</v>
      </c>
      <c r="K48" s="165">
        <v>76.33</v>
      </c>
      <c r="L48" s="165">
        <f t="shared" si="1"/>
        <v>351.17</v>
      </c>
      <c r="M48" s="218"/>
      <c r="N48" s="164">
        <f>E48-квітень!E48</f>
        <v>60</v>
      </c>
      <c r="O48" s="168">
        <f>F48-квітень!F48</f>
        <v>34.02999999999997</v>
      </c>
      <c r="P48" s="167">
        <f t="shared" si="14"/>
        <v>-25.970000000000027</v>
      </c>
      <c r="Q48" s="165">
        <f t="shared" si="11"/>
        <v>56.716666666666626</v>
      </c>
      <c r="R48" s="37">
        <v>60</v>
      </c>
      <c r="S48" s="37">
        <f t="shared" si="15"/>
        <v>-25.970000000000027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 t="shared" si="15"/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5192.53</v>
      </c>
      <c r="G50" s="162">
        <f t="shared" si="12"/>
        <v>52.529999999999745</v>
      </c>
      <c r="H50" s="164">
        <f t="shared" si="10"/>
        <v>101.02198443579766</v>
      </c>
      <c r="I50" s="165">
        <f t="shared" si="13"/>
        <v>-5807.47</v>
      </c>
      <c r="J50" s="165">
        <f t="shared" si="16"/>
        <v>47.20481818181818</v>
      </c>
      <c r="K50" s="165">
        <v>4057.41</v>
      </c>
      <c r="L50" s="165">
        <f t="shared" si="1"/>
        <v>1135.12</v>
      </c>
      <c r="M50" s="218">
        <f t="shared" si="17"/>
        <v>1.2797646774666598</v>
      </c>
      <c r="N50" s="164">
        <f>E50-квітень!E50</f>
        <v>900</v>
      </c>
      <c r="O50" s="168">
        <f>F50-квітень!F50</f>
        <v>511.0199999999995</v>
      </c>
      <c r="P50" s="167">
        <f t="shared" si="14"/>
        <v>-388.9800000000005</v>
      </c>
      <c r="Q50" s="165">
        <f t="shared" si="11"/>
        <v>56.77999999999995</v>
      </c>
      <c r="R50" s="37">
        <v>1000</v>
      </c>
      <c r="S50" s="37">
        <f t="shared" si="15"/>
        <v>-488.9800000000005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189.89</v>
      </c>
      <c r="G51" s="162">
        <f t="shared" si="12"/>
        <v>64.88999999999999</v>
      </c>
      <c r="H51" s="164">
        <f t="shared" si="10"/>
        <v>151.91199999999998</v>
      </c>
      <c r="I51" s="165">
        <f t="shared" si="13"/>
        <v>-120.11000000000001</v>
      </c>
      <c r="J51" s="165">
        <f t="shared" si="16"/>
        <v>61.254838709677415</v>
      </c>
      <c r="K51" s="165">
        <v>33.93</v>
      </c>
      <c r="L51" s="165">
        <f t="shared" si="1"/>
        <v>155.95999999999998</v>
      </c>
      <c r="M51" s="218"/>
      <c r="N51" s="164">
        <f>E51-квітень!E51</f>
        <v>25</v>
      </c>
      <c r="O51" s="168">
        <f>F51-квітень!F51</f>
        <v>14.519999999999982</v>
      </c>
      <c r="P51" s="167">
        <f t="shared" si="14"/>
        <v>-10.480000000000018</v>
      </c>
      <c r="Q51" s="165">
        <f t="shared" si="11"/>
        <v>58.079999999999934</v>
      </c>
      <c r="R51" s="37">
        <v>25</v>
      </c>
      <c r="S51" s="37">
        <f t="shared" si="15"/>
        <v>-10.480000000000018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 t="shared" si="12"/>
        <v>5.32</v>
      </c>
      <c r="H52" s="164">
        <f t="shared" si="10"/>
        <v>176</v>
      </c>
      <c r="I52" s="165">
        <f t="shared" si="13"/>
        <v>-7.68</v>
      </c>
      <c r="J52" s="165">
        <f t="shared" si="16"/>
        <v>61.6</v>
      </c>
      <c r="K52" s="165">
        <v>7.72</v>
      </c>
      <c r="L52" s="165">
        <f t="shared" si="1"/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 t="shared" si="14"/>
        <v>-2.039999999999999</v>
      </c>
      <c r="Q52" s="165">
        <f t="shared" si="11"/>
        <v>32.00000000000003</v>
      </c>
      <c r="R52" s="37">
        <v>3</v>
      </c>
      <c r="S52" s="37">
        <f t="shared" si="15"/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 t="shared" si="12"/>
        <v>-318.67999999999984</v>
      </c>
      <c r="H53" s="164">
        <f t="shared" si="10"/>
        <v>89.5171052631579</v>
      </c>
      <c r="I53" s="165">
        <f t="shared" si="13"/>
        <v>-4553.68</v>
      </c>
      <c r="J53" s="165">
        <f t="shared" si="16"/>
        <v>37.40646048109966</v>
      </c>
      <c r="K53" s="165">
        <v>3304.24</v>
      </c>
      <c r="L53" s="165">
        <f t="shared" si="1"/>
        <v>-582.9199999999996</v>
      </c>
      <c r="M53" s="218">
        <f t="shared" si="17"/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 t="shared" si="14"/>
        <v>-76.38200000000006</v>
      </c>
      <c r="Q53" s="165">
        <f t="shared" si="11"/>
        <v>87.4783606557377</v>
      </c>
      <c r="R53" s="37">
        <v>533.6</v>
      </c>
      <c r="S53" s="37">
        <f t="shared" si="15"/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302.04</v>
      </c>
      <c r="G54" s="162">
        <f t="shared" si="12"/>
        <v>-172.95999999999998</v>
      </c>
      <c r="H54" s="164">
        <f t="shared" si="10"/>
        <v>63.58736842105264</v>
      </c>
      <c r="I54" s="165">
        <f t="shared" si="13"/>
        <v>-897.96</v>
      </c>
      <c r="J54" s="165">
        <f t="shared" si="16"/>
        <v>25.17</v>
      </c>
      <c r="K54" s="165">
        <v>2573.46</v>
      </c>
      <c r="L54" s="165">
        <f t="shared" si="1"/>
        <v>-2271.42</v>
      </c>
      <c r="M54" s="218">
        <f t="shared" si="17"/>
        <v>0.11736727984891936</v>
      </c>
      <c r="N54" s="164">
        <f>E54-квітень!E54</f>
        <v>145</v>
      </c>
      <c r="O54" s="168">
        <f>F54-квітень!F54</f>
        <v>12.77800000000002</v>
      </c>
      <c r="P54" s="167">
        <f t="shared" si="14"/>
        <v>-132.22199999999998</v>
      </c>
      <c r="Q54" s="165">
        <f t="shared" si="11"/>
        <v>8.812413793103461</v>
      </c>
      <c r="R54" s="37">
        <v>70</v>
      </c>
      <c r="S54" s="37">
        <f t="shared" si="15"/>
        <v>-57.22199999999998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264.24</v>
      </c>
      <c r="G55" s="34">
        <f t="shared" si="12"/>
        <v>-135.76</v>
      </c>
      <c r="H55" s="30">
        <f t="shared" si="10"/>
        <v>66.06</v>
      </c>
      <c r="I55" s="104">
        <f t="shared" si="13"/>
        <v>-733.76</v>
      </c>
      <c r="J55" s="104">
        <f t="shared" si="16"/>
        <v>26.47695390781563</v>
      </c>
      <c r="K55" s="104">
        <v>367.55</v>
      </c>
      <c r="L55" s="104">
        <f>F55-K55</f>
        <v>-103.31</v>
      </c>
      <c r="M55" s="109">
        <f t="shared" si="17"/>
        <v>0.7189225955652292</v>
      </c>
      <c r="N55" s="105">
        <f>E55-квітень!E55</f>
        <v>130</v>
      </c>
      <c r="O55" s="144">
        <f>F55-квітень!F55</f>
        <v>8.860000000000014</v>
      </c>
      <c r="P55" s="106">
        <f t="shared" si="14"/>
        <v>-121.13999999999999</v>
      </c>
      <c r="Q55" s="119">
        <f t="shared" si="11"/>
        <v>6.815384615384626</v>
      </c>
      <c r="R55" s="37"/>
      <c r="S55" s="37">
        <f t="shared" si="15"/>
        <v>8.860000000000014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0.13</v>
      </c>
      <c r="G56" s="34">
        <f t="shared" si="12"/>
        <v>0.13</v>
      </c>
      <c r="H56" s="30" t="e">
        <f t="shared" si="10"/>
        <v>#DIV/0!</v>
      </c>
      <c r="I56" s="104">
        <f t="shared" si="13"/>
        <v>-0.87</v>
      </c>
      <c r="J56" s="104">
        <f t="shared" si="16"/>
        <v>13</v>
      </c>
      <c r="K56" s="104">
        <v>0.23</v>
      </c>
      <c r="L56" s="104">
        <f>F56-K56</f>
        <v>-0.1</v>
      </c>
      <c r="M56" s="109">
        <f t="shared" si="17"/>
        <v>0.5652173913043478</v>
      </c>
      <c r="N56" s="105">
        <f>E56-квітень!E56</f>
        <v>0</v>
      </c>
      <c r="O56" s="144">
        <f>F56-квітень!F56</f>
        <v>0.010000000000000009</v>
      </c>
      <c r="P56" s="106">
        <f t="shared" si="14"/>
        <v>0.010000000000000009</v>
      </c>
      <c r="Q56" s="119" t="e">
        <f t="shared" si="11"/>
        <v>#DIV/0!</v>
      </c>
      <c r="R56" s="37"/>
      <c r="S56" s="37">
        <f t="shared" si="15"/>
        <v>0.010000000000000009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E57-квітень!E57</f>
        <v>0</v>
      </c>
      <c r="O57" s="144">
        <f>F57-квітень!F57</f>
        <v>0</v>
      </c>
      <c r="P57" s="106">
        <f t="shared" si="14"/>
        <v>0</v>
      </c>
      <c r="Q57" s="119"/>
      <c r="R57" s="37"/>
      <c r="S57" s="37">
        <f t="shared" si="15"/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37.67</v>
      </c>
      <c r="G58" s="34">
        <f t="shared" si="12"/>
        <v>-37.33</v>
      </c>
      <c r="H58" s="30">
        <f t="shared" si="10"/>
        <v>50.22666666666667</v>
      </c>
      <c r="I58" s="104">
        <f t="shared" si="13"/>
        <v>-162.32999999999998</v>
      </c>
      <c r="J58" s="104">
        <f t="shared" si="16"/>
        <v>18.835</v>
      </c>
      <c r="K58" s="104">
        <v>2205.67</v>
      </c>
      <c r="L58" s="104">
        <f>F58-K58</f>
        <v>-2168</v>
      </c>
      <c r="M58" s="109">
        <f t="shared" si="17"/>
        <v>0.017078710777224154</v>
      </c>
      <c r="N58" s="105">
        <f>E58-квітень!E58</f>
        <v>15</v>
      </c>
      <c r="O58" s="144">
        <f>F58-квітень!F58</f>
        <v>3.8999999999999986</v>
      </c>
      <c r="P58" s="106">
        <f t="shared" si="14"/>
        <v>-11.100000000000001</v>
      </c>
      <c r="Q58" s="119">
        <f t="shared" si="11"/>
        <v>25.99999999999999</v>
      </c>
      <c r="R58" s="37"/>
      <c r="S58" s="37">
        <f t="shared" si="15"/>
        <v>3.8999999999999986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E59-квітень!E59</f>
        <v>0</v>
      </c>
      <c r="O59" s="168">
        <f>F59-квітень!F59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3791.72</v>
      </c>
      <c r="G60" s="162">
        <f t="shared" si="12"/>
        <v>-468.2800000000002</v>
      </c>
      <c r="H60" s="164">
        <f t="shared" si="10"/>
        <v>89.00751173708919</v>
      </c>
      <c r="I60" s="165">
        <f t="shared" si="13"/>
        <v>-3558.28</v>
      </c>
      <c r="J60" s="165">
        <f t="shared" si="16"/>
        <v>51.58802721088435</v>
      </c>
      <c r="K60" s="165">
        <v>2320.11</v>
      </c>
      <c r="L60" s="165">
        <f aca="true" t="shared" si="18" ref="L60:L66">F60-K60</f>
        <v>1471.6099999999997</v>
      </c>
      <c r="M60" s="218">
        <f t="shared" si="17"/>
        <v>1.6342845813345055</v>
      </c>
      <c r="N60" s="164">
        <f>E60-квітень!E60</f>
        <v>600</v>
      </c>
      <c r="O60" s="168">
        <f>F60-квітень!F60</f>
        <v>255.5079999999998</v>
      </c>
      <c r="P60" s="167">
        <f t="shared" si="14"/>
        <v>-344.4920000000002</v>
      </c>
      <c r="Q60" s="165">
        <f t="shared" si="11"/>
        <v>42.584666666666635</v>
      </c>
      <c r="R60" s="37">
        <v>450</v>
      </c>
      <c r="S60" s="37">
        <f t="shared" si="15"/>
        <v>-194.4920000000002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E61-березень!E61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752.47</v>
      </c>
      <c r="G62" s="162"/>
      <c r="H62" s="164"/>
      <c r="I62" s="165"/>
      <c r="J62" s="165"/>
      <c r="K62" s="166">
        <v>478.67</v>
      </c>
      <c r="L62" s="165">
        <f t="shared" si="18"/>
        <v>273.8</v>
      </c>
      <c r="M62" s="218">
        <f t="shared" si="17"/>
        <v>1.572001587732676</v>
      </c>
      <c r="N62" s="195"/>
      <c r="O62" s="179">
        <f>F62-квітень!F62</f>
        <v>112.77999999999997</v>
      </c>
      <c r="P62" s="166"/>
      <c r="Q62" s="165"/>
      <c r="R62" s="37"/>
      <c r="S62" s="37">
        <f t="shared" si="15"/>
        <v>112.77999999999997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 t="shared" si="12"/>
        <v>34.64</v>
      </c>
      <c r="H64" s="164">
        <f t="shared" si="10"/>
        <v>273.20000000000005</v>
      </c>
      <c r="I64" s="165">
        <f t="shared" si="13"/>
        <v>-105.36</v>
      </c>
      <c r="J64" s="165">
        <f t="shared" si="16"/>
        <v>34.150000000000006</v>
      </c>
      <c r="K64" s="165">
        <v>41.05</v>
      </c>
      <c r="L64" s="165">
        <f t="shared" si="18"/>
        <v>13.590000000000003</v>
      </c>
      <c r="M64" s="218">
        <f t="shared" si="17"/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 t="shared" si="14"/>
        <v>-10.002000000000002</v>
      </c>
      <c r="Q64" s="165"/>
      <c r="R64" s="37">
        <v>10</v>
      </c>
      <c r="S64" s="37">
        <f t="shared" si="15"/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16.85</v>
      </c>
      <c r="G65" s="162">
        <f t="shared" si="12"/>
        <v>10.450000000000001</v>
      </c>
      <c r="H65" s="164">
        <f t="shared" si="10"/>
        <v>263.28125</v>
      </c>
      <c r="I65" s="165">
        <f t="shared" si="13"/>
        <v>1.8500000000000014</v>
      </c>
      <c r="J65" s="165">
        <f t="shared" si="16"/>
        <v>112.33333333333336</v>
      </c>
      <c r="K65" s="165">
        <v>13.52</v>
      </c>
      <c r="L65" s="165">
        <f t="shared" si="18"/>
        <v>3.330000000000002</v>
      </c>
      <c r="M65" s="218">
        <f t="shared" si="17"/>
        <v>1.246301775147929</v>
      </c>
      <c r="N65" s="164">
        <f>E65-квітень!E65</f>
        <v>1.3000000000000007</v>
      </c>
      <c r="O65" s="168">
        <f>F65-квітень!F65</f>
        <v>-0.0019999999999988916</v>
      </c>
      <c r="P65" s="167">
        <f t="shared" si="14"/>
        <v>-1.3019999999999996</v>
      </c>
      <c r="Q65" s="165">
        <f t="shared" si="11"/>
        <v>-0.1538461538460685</v>
      </c>
      <c r="R65" s="37">
        <v>1.3</v>
      </c>
      <c r="S65" s="37">
        <f t="shared" si="15"/>
        <v>-1.301999999999999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0.37</v>
      </c>
      <c r="L66" s="165">
        <f t="shared" si="18"/>
        <v>-5.62</v>
      </c>
      <c r="M66" s="218">
        <f t="shared" si="17"/>
        <v>-14.18918918918919</v>
      </c>
      <c r="N66" s="164">
        <f>E66-квітень!E66</f>
        <v>0</v>
      </c>
      <c r="O66" s="168">
        <f>F66-квітень!F66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  <c r="T66" s="37"/>
      <c r="U66" s="94"/>
    </row>
    <row r="67" spans="1:21" s="6" customFormat="1" ht="18">
      <c r="A67" s="9"/>
      <c r="B67" s="14" t="s">
        <v>192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457411.68999999994</v>
      </c>
      <c r="G67" s="151">
        <f>F67-E67</f>
        <v>-72095.6100000001</v>
      </c>
      <c r="H67" s="152">
        <f>F67/E67*100</f>
        <v>86.38439734447473</v>
      </c>
      <c r="I67" s="153">
        <f>F67-D67</f>
        <v>-900079.4100000001</v>
      </c>
      <c r="J67" s="153">
        <f>F67/D67*100</f>
        <v>33.69537303043828</v>
      </c>
      <c r="K67" s="153">
        <v>397849.29</v>
      </c>
      <c r="L67" s="153">
        <f>F67-K67</f>
        <v>59562.399999999965</v>
      </c>
      <c r="M67" s="219">
        <f>F67/K67</f>
        <v>1.14971096215856</v>
      </c>
      <c r="N67" s="151">
        <f>N8+N41+N65+N66</f>
        <v>112090.19999999998</v>
      </c>
      <c r="O67" s="151">
        <f>O8+O41+O65+O66</f>
        <v>37649.935999999994</v>
      </c>
      <c r="P67" s="155">
        <f>O67-N67</f>
        <v>-74440.264</v>
      </c>
      <c r="Q67" s="153">
        <f>O67/N67*100</f>
        <v>33.588963174300694</v>
      </c>
      <c r="R67" s="27">
        <f>R8+R41+R65+R66</f>
        <v>109914</v>
      </c>
      <c r="S67" s="285">
        <f>O67-R67</f>
        <v>-72264.06400000001</v>
      </c>
      <c r="T67" s="285"/>
      <c r="U67" s="115">
        <f>O67/34768</f>
        <v>1.0828904739990795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E75-квітень!E75</f>
        <v>0</v>
      </c>
      <c r="O75" s="294">
        <f>F75-квітень!F75</f>
        <v>0</v>
      </c>
      <c r="P75" s="187">
        <f aca="true" t="shared" si="22" ref="P75:P89">O75-N75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0.12</v>
      </c>
      <c r="G76" s="162">
        <f t="shared" si="19"/>
        <v>-4499.88</v>
      </c>
      <c r="H76" s="164">
        <f>F76/E76*100</f>
        <v>0.0026666666666666666</v>
      </c>
      <c r="I76" s="167">
        <f t="shared" si="20"/>
        <v>-104205.91</v>
      </c>
      <c r="J76" s="167">
        <f>F76/D76*100</f>
        <v>0.00011515648374666994</v>
      </c>
      <c r="K76" s="167">
        <v>1041.97</v>
      </c>
      <c r="L76" s="167">
        <f t="shared" si="21"/>
        <v>-1041.8500000000001</v>
      </c>
      <c r="M76" s="209">
        <f>F76/K76</f>
        <v>0.00011516646352582127</v>
      </c>
      <c r="N76" s="164">
        <f>E76-квітень!E76</f>
        <v>4500</v>
      </c>
      <c r="O76" s="168">
        <f>F76-квітень!F76</f>
        <v>0</v>
      </c>
      <c r="P76" s="167">
        <f t="shared" si="22"/>
        <v>-4500</v>
      </c>
      <c r="Q76" s="167">
        <f>O76/N76*100</f>
        <v>0</v>
      </c>
      <c r="R76" s="38">
        <v>0</v>
      </c>
      <c r="S76" s="38">
        <f aca="true" t="shared" si="23" ref="S76:S87">O76-R76</f>
        <v>0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 t="shared" si="19"/>
        <v>-11725.1</v>
      </c>
      <c r="H77" s="164">
        <f>F77/E77*100</f>
        <v>2.534497090606816</v>
      </c>
      <c r="I77" s="167">
        <f t="shared" si="20"/>
        <v>-53695.1</v>
      </c>
      <c r="J77" s="167">
        <f>F77/D77*100</f>
        <v>0.5646296296296296</v>
      </c>
      <c r="K77" s="167">
        <v>869.23</v>
      </c>
      <c r="L77" s="167">
        <f t="shared" si="21"/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 t="shared" si="22"/>
        <v>-3598.02</v>
      </c>
      <c r="Q77" s="167">
        <f>O77/N77*100</f>
        <v>0.05499999999999893</v>
      </c>
      <c r="R77" s="38">
        <v>200</v>
      </c>
      <c r="S77" s="38">
        <f t="shared" si="23"/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2887.06</v>
      </c>
      <c r="G78" s="162">
        <f t="shared" si="19"/>
        <v>-9462.94</v>
      </c>
      <c r="H78" s="164">
        <f>F78/E78*100</f>
        <v>23.377004048582993</v>
      </c>
      <c r="I78" s="167">
        <f t="shared" si="20"/>
        <v>-76112.94</v>
      </c>
      <c r="J78" s="167">
        <f>F78/D78*100</f>
        <v>3.654506329113924</v>
      </c>
      <c r="K78" s="167">
        <v>9113.39</v>
      </c>
      <c r="L78" s="167">
        <f t="shared" si="21"/>
        <v>-6226.33</v>
      </c>
      <c r="M78" s="209">
        <f>F78/K78</f>
        <v>0.3167932020905503</v>
      </c>
      <c r="N78" s="164">
        <f>E78-квітень!E78</f>
        <v>3850</v>
      </c>
      <c r="O78" s="168">
        <f>F78-квітень!F78</f>
        <v>1065.61</v>
      </c>
      <c r="P78" s="167">
        <f t="shared" si="22"/>
        <v>-2784.3900000000003</v>
      </c>
      <c r="Q78" s="167">
        <f>O78/N78*100</f>
        <v>27.678181818181812</v>
      </c>
      <c r="R78" s="38">
        <v>1500</v>
      </c>
      <c r="S78" s="38">
        <f t="shared" si="23"/>
        <v>-434.3900000000001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 t="shared" si="19"/>
        <v>1</v>
      </c>
      <c r="H79" s="164">
        <f>F79/E79*100</f>
        <v>120</v>
      </c>
      <c r="I79" s="167">
        <f t="shared" si="20"/>
        <v>-6</v>
      </c>
      <c r="J79" s="167">
        <f>F79/D79*100</f>
        <v>50</v>
      </c>
      <c r="K79" s="167">
        <v>5</v>
      </c>
      <c r="L79" s="167">
        <f t="shared" si="21"/>
        <v>1</v>
      </c>
      <c r="M79" s="209"/>
      <c r="N79" s="164">
        <f>E79-квітень!E79</f>
        <v>1</v>
      </c>
      <c r="O79" s="168">
        <f>F79-квітень!F79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  <c r="T79" s="286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3198.08</v>
      </c>
      <c r="G80" s="185">
        <f t="shared" si="19"/>
        <v>-25686.92</v>
      </c>
      <c r="H80" s="186">
        <f>F80/E80*100</f>
        <v>11.07176735329756</v>
      </c>
      <c r="I80" s="187">
        <f t="shared" si="20"/>
        <v>-234019.95</v>
      </c>
      <c r="J80" s="187">
        <f>F80/D80*100</f>
        <v>1.3481605930206908</v>
      </c>
      <c r="K80" s="187">
        <v>11029.59</v>
      </c>
      <c r="L80" s="187">
        <f t="shared" si="21"/>
        <v>-7831.51</v>
      </c>
      <c r="M80" s="214">
        <f>F80/K80</f>
        <v>0.2899545676675198</v>
      </c>
      <c r="N80" s="185">
        <f>N76+N77+N78+N79</f>
        <v>11951</v>
      </c>
      <c r="O80" s="189">
        <f>O76+O77+O78+O79</f>
        <v>1068.59</v>
      </c>
      <c r="P80" s="187">
        <f t="shared" si="22"/>
        <v>-10882.41</v>
      </c>
      <c r="Q80" s="187">
        <f>O80/N80*100</f>
        <v>8.941427495607062</v>
      </c>
      <c r="R80" s="39">
        <f>SUM(R76:R79)</f>
        <v>1701</v>
      </c>
      <c r="S80" s="39">
        <f t="shared" si="23"/>
        <v>-632.4100000000001</v>
      </c>
      <c r="T80" s="287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9.25</v>
      </c>
      <c r="G81" s="162">
        <f t="shared" si="19"/>
        <v>5.75</v>
      </c>
      <c r="H81" s="164"/>
      <c r="I81" s="167">
        <f t="shared" si="20"/>
        <v>-30.75</v>
      </c>
      <c r="J81" s="167"/>
      <c r="K81" s="167">
        <v>4.4</v>
      </c>
      <c r="L81" s="167">
        <f t="shared" si="21"/>
        <v>4.85</v>
      </c>
      <c r="M81" s="209">
        <f>F81/K81</f>
        <v>2.102272727272727</v>
      </c>
      <c r="N81" s="164">
        <f>E81-квітень!E81</f>
        <v>1</v>
      </c>
      <c r="O81" s="168">
        <f>F81-квітень!F81</f>
        <v>0</v>
      </c>
      <c r="P81" s="167">
        <f t="shared" si="22"/>
        <v>-1</v>
      </c>
      <c r="Q81" s="167"/>
      <c r="R81" s="38">
        <v>1</v>
      </c>
      <c r="S81" s="38">
        <f t="shared" si="23"/>
        <v>-1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 t="shared" si="22"/>
        <v>0</v>
      </c>
      <c r="Q82" s="190"/>
      <c r="R82" s="41"/>
      <c r="S82" s="38">
        <f t="shared" si="23"/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2240.43</v>
      </c>
      <c r="G83" s="162">
        <f t="shared" si="19"/>
        <v>-2266.07</v>
      </c>
      <c r="H83" s="164">
        <f>F83/E83*100</f>
        <v>49.71552202374348</v>
      </c>
      <c r="I83" s="167">
        <f t="shared" si="20"/>
        <v>-6119.57</v>
      </c>
      <c r="J83" s="167">
        <f>F83/D83*100</f>
        <v>26.7994019138756</v>
      </c>
      <c r="K83" s="167">
        <v>4887.77</v>
      </c>
      <c r="L83" s="167">
        <f t="shared" si="21"/>
        <v>-2647.3400000000006</v>
      </c>
      <c r="M83" s="209"/>
      <c r="N83" s="164">
        <f>E83-квітень!E83</f>
        <v>2141.3</v>
      </c>
      <c r="O83" s="168">
        <f>F83-квітень!F83</f>
        <v>8.889999999999873</v>
      </c>
      <c r="P83" s="167">
        <f>O83-N83</f>
        <v>-2132.4100000000003</v>
      </c>
      <c r="Q83" s="190">
        <f>O83/N83*100</f>
        <v>0.4151683556717822</v>
      </c>
      <c r="R83" s="41">
        <v>2850</v>
      </c>
      <c r="S83" s="293">
        <f t="shared" si="23"/>
        <v>-2841.11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9"/>
        <v>0.03</v>
      </c>
      <c r="H84" s="164"/>
      <c r="I84" s="167">
        <f t="shared" si="20"/>
        <v>0.03</v>
      </c>
      <c r="J84" s="167"/>
      <c r="K84" s="167">
        <v>0.69</v>
      </c>
      <c r="L84" s="167">
        <f t="shared" si="21"/>
        <v>-0.6599999999999999</v>
      </c>
      <c r="M84" s="209">
        <f aca="true" t="shared" si="24" ref="M84:M89">F84/K84</f>
        <v>0.043478260869565216</v>
      </c>
      <c r="N84" s="164">
        <f>E84-квітень!E84</f>
        <v>0</v>
      </c>
      <c r="O84" s="168">
        <f>F84-квітень!F84</f>
        <v>0</v>
      </c>
      <c r="P84" s="167">
        <f t="shared" si="22"/>
        <v>0</v>
      </c>
      <c r="Q84" s="167"/>
      <c r="R84" s="38">
        <v>0</v>
      </c>
      <c r="S84" s="38">
        <f t="shared" si="23"/>
        <v>0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2249.71</v>
      </c>
      <c r="G85" s="183">
        <f>G81+G84+G82+G83</f>
        <v>-2260.29</v>
      </c>
      <c r="H85" s="186">
        <f>F85/E85*100</f>
        <v>49.88270509977827</v>
      </c>
      <c r="I85" s="187">
        <f t="shared" si="20"/>
        <v>-6150.29</v>
      </c>
      <c r="J85" s="187">
        <f>F85/D85*100</f>
        <v>26.782261904761906</v>
      </c>
      <c r="K85" s="187">
        <v>4892.86</v>
      </c>
      <c r="L85" s="187">
        <f t="shared" si="21"/>
        <v>-2643.1499999999996</v>
      </c>
      <c r="M85" s="220">
        <f t="shared" si="24"/>
        <v>0.4597944760324228</v>
      </c>
      <c r="N85" s="185">
        <f>N81+N84+N82+N83</f>
        <v>2142.3</v>
      </c>
      <c r="O85" s="189">
        <f>O81+O84+O82+O83</f>
        <v>8.889999999999873</v>
      </c>
      <c r="P85" s="185">
        <f>P81+P84+P82+P83</f>
        <v>-2133.4100000000003</v>
      </c>
      <c r="Q85" s="187">
        <f>O85/N85*100</f>
        <v>0.41497456005227423</v>
      </c>
      <c r="R85" s="39">
        <f>SUM(R81:R84)</f>
        <v>2851</v>
      </c>
      <c r="S85" s="39">
        <f t="shared" si="23"/>
        <v>-2842.11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7.6</v>
      </c>
      <c r="G86" s="162">
        <f t="shared" si="19"/>
        <v>-7.700000000000001</v>
      </c>
      <c r="H86" s="164">
        <f>F86/E86*100</f>
        <v>49.67320261437908</v>
      </c>
      <c r="I86" s="167">
        <f t="shared" si="20"/>
        <v>-30.4</v>
      </c>
      <c r="J86" s="167">
        <f>F86/D86*100</f>
        <v>20</v>
      </c>
      <c r="K86" s="167">
        <v>9.19</v>
      </c>
      <c r="L86" s="167">
        <f t="shared" si="21"/>
        <v>-1.5899999999999999</v>
      </c>
      <c r="M86" s="209">
        <f t="shared" si="24"/>
        <v>0.8269858541893362</v>
      </c>
      <c r="N86" s="164">
        <f>E86-квітень!E86</f>
        <v>1.200000000000001</v>
      </c>
      <c r="O86" s="168">
        <f>F86-квітень!F86</f>
        <v>0</v>
      </c>
      <c r="P86" s="167">
        <f t="shared" si="22"/>
        <v>-1.200000000000001</v>
      </c>
      <c r="Q86" s="167">
        <f>O86/N86</f>
        <v>0</v>
      </c>
      <c r="R86" s="38">
        <v>1.2</v>
      </c>
      <c r="S86" s="38">
        <f t="shared" si="23"/>
        <v>-1.2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5488.33</v>
      </c>
      <c r="G88" s="192">
        <f>F88-E88</f>
        <v>-27921.97</v>
      </c>
      <c r="H88" s="193">
        <f>F88/E88*100</f>
        <v>16.427059918647842</v>
      </c>
      <c r="I88" s="194">
        <f>F88-D88</f>
        <v>-240167.7</v>
      </c>
      <c r="J88" s="194">
        <f>F88/D88*100</f>
        <v>2.2341523633675915</v>
      </c>
      <c r="K88" s="194">
        <v>15931.38</v>
      </c>
      <c r="L88" s="194">
        <f>F88-K88</f>
        <v>-10443.05</v>
      </c>
      <c r="M88" s="221">
        <f t="shared" si="24"/>
        <v>0.34449809118858504</v>
      </c>
      <c r="N88" s="191">
        <f>N74+N75+N80+N85+N86</f>
        <v>14094.5</v>
      </c>
      <c r="O88" s="191">
        <f>O74+O75+O80+O85+O86</f>
        <v>1074.8399999999997</v>
      </c>
      <c r="P88" s="194">
        <f t="shared" si="22"/>
        <v>-13019.66</v>
      </c>
      <c r="Q88" s="194">
        <f>O88/N88*100</f>
        <v>7.625953386072578</v>
      </c>
      <c r="R88" s="27">
        <f>R80+R85+R86+R87</f>
        <v>4553.2</v>
      </c>
      <c r="S88" s="27">
        <f>S80+S85+S86+S87</f>
        <v>-3475.7200000000003</v>
      </c>
      <c r="T88" s="27"/>
      <c r="U88" s="95">
        <f>O88/8104.96</f>
        <v>0.13261509001895133</v>
      </c>
    </row>
    <row r="89" spans="2:21" ht="17.25">
      <c r="B89" s="21" t="s">
        <v>190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462900.01999999996</v>
      </c>
      <c r="G89" s="192">
        <f>F89-E89</f>
        <v>-100017.58000000013</v>
      </c>
      <c r="H89" s="193">
        <f>F89/E89*100</f>
        <v>82.23228763854601</v>
      </c>
      <c r="I89" s="194">
        <f>F89-D89</f>
        <v>-1140247.11</v>
      </c>
      <c r="J89" s="194">
        <f>F89/D89*100</f>
        <v>28.87445645740575</v>
      </c>
      <c r="K89" s="194">
        <f>K67+K88</f>
        <v>413780.67</v>
      </c>
      <c r="L89" s="194">
        <f>F89-K89</f>
        <v>49119.34999999998</v>
      </c>
      <c r="M89" s="221">
        <f t="shared" si="24"/>
        <v>1.1187086627318767</v>
      </c>
      <c r="N89" s="192">
        <f>N67+N88</f>
        <v>126184.69999999998</v>
      </c>
      <c r="O89" s="192">
        <f>O67+O88</f>
        <v>38724.77599999999</v>
      </c>
      <c r="P89" s="194">
        <f t="shared" si="22"/>
        <v>-87459.924</v>
      </c>
      <c r="Q89" s="194">
        <f>O89/N89*100</f>
        <v>30.688963083480008</v>
      </c>
      <c r="R89" s="27">
        <f>R67+R88</f>
        <v>114467.2</v>
      </c>
      <c r="S89" s="27">
        <f>S67+S88</f>
        <v>-75739.78400000001</v>
      </c>
      <c r="T89" s="27"/>
      <c r="U89" s="95">
        <f>O89/42872.96</f>
        <v>0.903244749137918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13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5726.174153846154</v>
      </c>
      <c r="D92" s="4" t="s">
        <v>24</v>
      </c>
      <c r="G92" s="314"/>
      <c r="H92" s="314"/>
      <c r="I92" s="314"/>
      <c r="J92" s="31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42868</v>
      </c>
      <c r="D93" s="29">
        <v>3291.1</v>
      </c>
      <c r="G93" s="4" t="s">
        <v>58</v>
      </c>
      <c r="O93" s="303"/>
      <c r="P93" s="303"/>
    </row>
    <row r="94" spans="3:16" ht="15">
      <c r="C94" s="81">
        <v>42867</v>
      </c>
      <c r="D94" s="29">
        <v>4554.7</v>
      </c>
      <c r="F94" s="113" t="s">
        <v>58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42866</v>
      </c>
      <c r="D95" s="29">
        <v>13325.4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9.33719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 hidden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90" t="s">
        <v>203</v>
      </c>
      <c r="D100" s="68">
        <f>D48+D51+D52</f>
        <v>1060</v>
      </c>
      <c r="E100" s="68">
        <f>E48+E51+E52</f>
        <v>532</v>
      </c>
      <c r="F100" s="203">
        <f>F48+F51+F52</f>
        <v>629.71</v>
      </c>
      <c r="G100" s="68">
        <f>G48+G51+G52</f>
        <v>97.70999999999998</v>
      </c>
      <c r="H100" s="69"/>
      <c r="I100" s="69"/>
      <c r="N100" s="29">
        <f>N48+N51+N52</f>
        <v>88</v>
      </c>
      <c r="O100" s="202">
        <f>O48+O51+O52</f>
        <v>49.509999999999955</v>
      </c>
      <c r="P100" s="29">
        <f>P48+P51+P52</f>
        <v>-38.490000000000045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433724.12999999995</v>
      </c>
      <c r="G102" s="29">
        <f>F102-E102</f>
        <v>-71248.37000000005</v>
      </c>
      <c r="H102" s="230">
        <f>F102/E102</f>
        <v>0.8589064354989627</v>
      </c>
      <c r="I102" s="29">
        <f>F102-D102</f>
        <v>-865324.4700000002</v>
      </c>
      <c r="J102" s="230">
        <f>F102/D102</f>
        <v>0.3338782936989424</v>
      </c>
      <c r="N102" s="29">
        <f>N9+N15+N17+N18+N19+N23+N42+N45+N65+N59</f>
        <v>106907.39999999998</v>
      </c>
      <c r="O102" s="229">
        <f>O9+O15+O17+O18+O19+O23+O42+O45+O65+O59</f>
        <v>33571.812</v>
      </c>
      <c r="P102" s="29">
        <f>O102-N102</f>
        <v>-73335.58799999999</v>
      </c>
      <c r="Q102" s="230">
        <f>O102/N102</f>
        <v>0.31402701777426073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23687.559999999998</v>
      </c>
      <c r="G103" s="29">
        <f>G43+G44+G46+G48+G50+G51+G52+G53+G54+G60+G64+G47</f>
        <v>-841.9900000000004</v>
      </c>
      <c r="H103" s="230">
        <f>F103/E103</f>
        <v>0.9654678252930531</v>
      </c>
      <c r="I103" s="29">
        <f>I43+I44+I46+I48+I50+I51+I52+I53+I54+I60+I64+I47</f>
        <v>-34749.69</v>
      </c>
      <c r="J103" s="230">
        <f>F103/D103</f>
        <v>0.40531394105317187</v>
      </c>
      <c r="K103" s="29">
        <f aca="true" t="shared" si="25" ref="K103:P103">K43+K44+K46+K48+K50+K51+K52+K53+K54+K60+K64+K47</f>
        <v>22597.689999999995</v>
      </c>
      <c r="L103" s="29">
        <f t="shared" si="25"/>
        <v>1095.1200000000001</v>
      </c>
      <c r="M103" s="29">
        <f t="shared" si="25"/>
        <v>17.049061798087084</v>
      </c>
      <c r="N103" s="29">
        <f>N43+N44+N46+N48+N50+N51+N52+N53+N54+N60+N64+N47+N66</f>
        <v>5182.8</v>
      </c>
      <c r="O103" s="229">
        <f>O43+O44+O46+O48+O50+O51+O52+O53+O54+O60+O64+O47+O66</f>
        <v>4078.1239999999993</v>
      </c>
      <c r="P103" s="29">
        <f t="shared" si="25"/>
        <v>-1104.676000000001</v>
      </c>
      <c r="Q103" s="230">
        <f>O103/N103</f>
        <v>0.7868572972138611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529507.3</v>
      </c>
      <c r="F104" s="229">
        <f t="shared" si="26"/>
        <v>457411.68999999994</v>
      </c>
      <c r="G104" s="29">
        <f t="shared" si="26"/>
        <v>-72090.36000000006</v>
      </c>
      <c r="H104" s="230">
        <f>F104/E104</f>
        <v>0.8638439734447474</v>
      </c>
      <c r="I104" s="29">
        <f t="shared" si="26"/>
        <v>-900074.1600000001</v>
      </c>
      <c r="J104" s="230">
        <f>F104/D104</f>
        <v>0.3369537303043828</v>
      </c>
      <c r="K104" s="29">
        <f t="shared" si="26"/>
        <v>22597.689999999995</v>
      </c>
      <c r="L104" s="29">
        <f t="shared" si="26"/>
        <v>1095.1200000000001</v>
      </c>
      <c r="M104" s="29">
        <f t="shared" si="26"/>
        <v>17.049061798087084</v>
      </c>
      <c r="N104" s="29">
        <f t="shared" si="26"/>
        <v>112090.19999999998</v>
      </c>
      <c r="O104" s="229">
        <f t="shared" si="26"/>
        <v>37649.935999999994</v>
      </c>
      <c r="P104" s="29">
        <f t="shared" si="26"/>
        <v>-74440.264</v>
      </c>
      <c r="Q104" s="230">
        <f>O104/N104</f>
        <v>0.33588963174300696</v>
      </c>
    </row>
    <row r="105" spans="4:21" ht="15" hidden="1">
      <c r="D105" s="29">
        <f>D67-D104</f>
        <v>0</v>
      </c>
      <c r="E105" s="29">
        <f aca="true" t="shared" si="27" ref="E105:U105">E67-E104</f>
        <v>0</v>
      </c>
      <c r="F105" s="29">
        <f t="shared" si="27"/>
        <v>0</v>
      </c>
      <c r="G105" s="29">
        <f t="shared" si="27"/>
        <v>-5.250000000043656</v>
      </c>
      <c r="H105" s="230"/>
      <c r="I105" s="29">
        <f t="shared" si="27"/>
        <v>-5.25</v>
      </c>
      <c r="J105" s="230"/>
      <c r="K105" s="29">
        <f t="shared" si="27"/>
        <v>375251.6</v>
      </c>
      <c r="L105" s="29">
        <f t="shared" si="27"/>
        <v>58467.27999999996</v>
      </c>
      <c r="M105" s="29">
        <f t="shared" si="27"/>
        <v>-15.899350835928525</v>
      </c>
      <c r="N105" s="29">
        <f t="shared" si="27"/>
        <v>0</v>
      </c>
      <c r="O105" s="29">
        <f t="shared" si="27"/>
        <v>0</v>
      </c>
      <c r="P105" s="29">
        <f t="shared" si="27"/>
        <v>0</v>
      </c>
      <c r="Q105" s="29"/>
      <c r="R105" s="29">
        <f t="shared" si="27"/>
        <v>109914</v>
      </c>
      <c r="S105" s="29"/>
      <c r="T105" s="29"/>
      <c r="U105" s="29">
        <f t="shared" si="27"/>
        <v>1.0828904739990795</v>
      </c>
    </row>
    <row r="106" ht="15" hidden="1">
      <c r="E106" s="4" t="s">
        <v>58</v>
      </c>
    </row>
    <row r="107" spans="2:5" ht="15" hidden="1">
      <c r="B107" s="250" t="s">
        <v>173</v>
      </c>
      <c r="E107" s="29">
        <f>E67-E9-E20-E29-E35</f>
        <v>53716.60000000005</v>
      </c>
    </row>
    <row r="108" spans="2:5" ht="15" hidden="1">
      <c r="B108" s="250" t="s">
        <v>174</v>
      </c>
      <c r="E108" s="29">
        <f>E88-E83-E76-E77</f>
        <v>12373.800000000003</v>
      </c>
    </row>
    <row r="109" ht="15" hidden="1"/>
    <row r="110" spans="2:21" ht="18" hidden="1">
      <c r="B110" s="122" t="s">
        <v>165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73"/>
      <c r="N110" s="271"/>
      <c r="O110" s="271"/>
      <c r="P110" s="272"/>
      <c r="Q110" s="272"/>
      <c r="R110" s="275"/>
      <c r="S110" s="275"/>
      <c r="T110" s="275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25742.65</v>
      </c>
      <c r="G111" s="192">
        <f>F111-E111</f>
        <v>-25769.71</v>
      </c>
      <c r="H111" s="193">
        <f>F111/E111*100</f>
        <v>49.97373445906963</v>
      </c>
      <c r="I111" s="194">
        <f>F111-D111</f>
        <v>-292321.6</v>
      </c>
      <c r="J111" s="194">
        <f>F111/D111*100</f>
        <v>8.093537705039155</v>
      </c>
      <c r="K111" s="194">
        <v>3039.87</v>
      </c>
      <c r="L111" s="194">
        <f>F111-K111</f>
        <v>22702.780000000002</v>
      </c>
      <c r="M111" s="274">
        <f>F111/K111</f>
        <v>8.468339106606534</v>
      </c>
      <c r="N111" s="277"/>
      <c r="O111" s="277"/>
      <c r="P111" s="278"/>
      <c r="Q111" s="278"/>
      <c r="R111" s="276">
        <f>O111-8104.96</f>
        <v>-8104.96</v>
      </c>
      <c r="S111" s="276"/>
      <c r="T111" s="276"/>
      <c r="U111" s="95">
        <f>O111/8104.96</f>
        <v>0</v>
      </c>
    </row>
    <row r="112" spans="2:21" ht="17.25" hidden="1">
      <c r="B112" s="21" t="s">
        <v>189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483154.33999999997</v>
      </c>
      <c r="G112" s="192">
        <f>F112-E112</f>
        <v>-97865.32000000007</v>
      </c>
      <c r="H112" s="193">
        <f>F112/E112*100</f>
        <v>83.1562808046805</v>
      </c>
      <c r="I112" s="194">
        <f>F112-D112</f>
        <v>-1192401.0100000002</v>
      </c>
      <c r="J112" s="194">
        <f>F112/D112*100</f>
        <v>28.835474757667654</v>
      </c>
      <c r="K112" s="194">
        <f>K89+K111</f>
        <v>416820.54</v>
      </c>
      <c r="L112" s="194">
        <f>F112-K112</f>
        <v>66333.79999999999</v>
      </c>
      <c r="M112" s="274">
        <f>F112/K112</f>
        <v>1.1591423493669482</v>
      </c>
      <c r="N112" s="279"/>
      <c r="O112" s="279"/>
      <c r="P112" s="278"/>
      <c r="Q112" s="278"/>
      <c r="R112" s="276">
        <f>O112-42872.96</f>
        <v>-42872.96</v>
      </c>
      <c r="S112" s="276"/>
      <c r="T112" s="276"/>
      <c r="U112" s="95">
        <f>O112/42872.96</f>
        <v>0</v>
      </c>
    </row>
    <row r="113" spans="2:21" ht="15" hidden="1">
      <c r="B113" s="241" t="s">
        <v>191</v>
      </c>
      <c r="C113" s="239">
        <v>40000000</v>
      </c>
      <c r="D113" s="248">
        <f aca="true" t="shared" si="28" ref="D113:F114">D114</f>
        <v>1222868.6900000002</v>
      </c>
      <c r="E113" s="248">
        <f t="shared" si="28"/>
        <v>550655.6</v>
      </c>
      <c r="F113" s="248">
        <f t="shared" si="28"/>
        <v>545829.08</v>
      </c>
      <c r="G113" s="248">
        <f aca="true" t="shared" si="29" ref="G113:G124">F113-E113</f>
        <v>-4826.520000000019</v>
      </c>
      <c r="H113" s="248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156</v>
      </c>
      <c r="C114" s="239">
        <v>41000000</v>
      </c>
      <c r="D114" s="248">
        <f t="shared" si="28"/>
        <v>1222868.6900000002</v>
      </c>
      <c r="E114" s="248">
        <f t="shared" si="28"/>
        <v>550655.6</v>
      </c>
      <c r="F114" s="248">
        <f t="shared" si="28"/>
        <v>545829.08</v>
      </c>
      <c r="G114" s="248">
        <f t="shared" si="29"/>
        <v>-4826.520000000019</v>
      </c>
      <c r="H114" s="248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  <c r="U114" s="4"/>
    </row>
    <row r="115" spans="2:21" ht="15" hidden="1">
      <c r="B115" s="240" t="s">
        <v>157</v>
      </c>
      <c r="C115" s="239">
        <v>41030000</v>
      </c>
      <c r="D115" s="248">
        <f>SUM(D116:D123)</f>
        <v>1222868.6900000002</v>
      </c>
      <c r="E115" s="248">
        <f>SUM(E116:E123)</f>
        <v>550655.6</v>
      </c>
      <c r="F115" s="248">
        <f>SUM(F116:F123)</f>
        <v>545829.08</v>
      </c>
      <c r="G115" s="248">
        <f t="shared" si="29"/>
        <v>-4826.520000000019</v>
      </c>
      <c r="H115" s="248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  <c r="U115" s="4"/>
    </row>
    <row r="116" spans="2:21" ht="63.75" hidden="1">
      <c r="B116" s="240" t="s">
        <v>185</v>
      </c>
      <c r="C116" s="239">
        <v>41030600</v>
      </c>
      <c r="D116" s="248">
        <v>311813.4</v>
      </c>
      <c r="E116" s="248">
        <v>74842.5</v>
      </c>
      <c r="F116" s="248">
        <v>71108.47</v>
      </c>
      <c r="G116" s="248">
        <f t="shared" si="29"/>
        <v>-3734.029999999999</v>
      </c>
      <c r="H116" s="248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  <c r="U116" s="4"/>
    </row>
    <row r="117" spans="2:21" ht="63.75" hidden="1">
      <c r="B117" s="240" t="s">
        <v>167</v>
      </c>
      <c r="C117" s="239">
        <v>41030800</v>
      </c>
      <c r="D117" s="248">
        <v>408648.2</v>
      </c>
      <c r="E117" s="248">
        <v>354918.91</v>
      </c>
      <c r="F117" s="248">
        <v>354211.24</v>
      </c>
      <c r="G117" s="248">
        <f t="shared" si="29"/>
        <v>-707.6699999999837</v>
      </c>
      <c r="H117" s="248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  <c r="U117" s="4"/>
    </row>
    <row r="118" spans="2:21" ht="51.75" hidden="1">
      <c r="B118" s="240" t="s">
        <v>186</v>
      </c>
      <c r="C118" s="239">
        <v>41031000</v>
      </c>
      <c r="D118" s="248">
        <v>227.7</v>
      </c>
      <c r="E118" s="248">
        <v>57</v>
      </c>
      <c r="F118" s="248">
        <v>40.84</v>
      </c>
      <c r="G118" s="248">
        <f t="shared" si="29"/>
        <v>-16.159999999999997</v>
      </c>
      <c r="H118" s="248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  <c r="U118" s="4"/>
    </row>
    <row r="119" spans="2:21" ht="26.25" hidden="1">
      <c r="B119" s="240" t="s">
        <v>168</v>
      </c>
      <c r="C119" s="239">
        <v>41033900</v>
      </c>
      <c r="D119" s="248">
        <v>243334.5</v>
      </c>
      <c r="E119" s="248">
        <v>56191.6</v>
      </c>
      <c r="F119" s="248">
        <v>56191.6</v>
      </c>
      <c r="G119" s="248">
        <f t="shared" si="29"/>
        <v>0</v>
      </c>
      <c r="H119" s="248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  <c r="U119" s="4"/>
    </row>
    <row r="120" spans="2:21" ht="26.25" hidden="1">
      <c r="B120" s="240" t="s">
        <v>169</v>
      </c>
      <c r="C120" s="239">
        <v>41034200</v>
      </c>
      <c r="D120" s="248">
        <v>238249.5</v>
      </c>
      <c r="E120" s="248">
        <v>59541.9</v>
      </c>
      <c r="F120" s="248">
        <v>59541.9</v>
      </c>
      <c r="G120" s="248">
        <f t="shared" si="29"/>
        <v>0</v>
      </c>
      <c r="H120" s="248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  <c r="U120" s="4"/>
    </row>
    <row r="121" spans="2:21" ht="15" hidden="1">
      <c r="B121" s="240" t="s">
        <v>163</v>
      </c>
      <c r="C121" s="239">
        <v>41035000</v>
      </c>
      <c r="D121" s="248">
        <v>16239.09</v>
      </c>
      <c r="E121" s="248">
        <v>4193.79</v>
      </c>
      <c r="F121" s="248">
        <v>3733.65</v>
      </c>
      <c r="G121" s="248">
        <f t="shared" si="29"/>
        <v>-460.1399999999999</v>
      </c>
      <c r="H121" s="248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  <c r="U121" s="4"/>
    </row>
    <row r="122" spans="2:21" ht="39" hidden="1">
      <c r="B122" s="240" t="s">
        <v>188</v>
      </c>
      <c r="C122" s="239">
        <v>41035400</v>
      </c>
      <c r="D122" s="248">
        <v>0</v>
      </c>
      <c r="E122" s="248">
        <v>0</v>
      </c>
      <c r="F122" s="248">
        <v>165.7</v>
      </c>
      <c r="G122" s="248">
        <f t="shared" si="29"/>
        <v>165.7</v>
      </c>
      <c r="H122" s="248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  <c r="U122" s="4"/>
    </row>
    <row r="123" spans="2:21" ht="63.75" hidden="1">
      <c r="B123" s="240" t="s">
        <v>187</v>
      </c>
      <c r="C123" s="239">
        <v>41035800</v>
      </c>
      <c r="D123" s="248">
        <v>4356.3</v>
      </c>
      <c r="E123" s="248">
        <v>909.9</v>
      </c>
      <c r="F123" s="248">
        <v>835.68</v>
      </c>
      <c r="G123" s="248">
        <f t="shared" si="29"/>
        <v>-74.22000000000003</v>
      </c>
      <c r="H123" s="248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  <c r="U123" s="4"/>
    </row>
    <row r="124" spans="2:17" s="242" customFormat="1" ht="25.5" customHeight="1" hidden="1">
      <c r="B124" s="280" t="s">
        <v>166</v>
      </c>
      <c r="C124" s="281"/>
      <c r="D124" s="282">
        <f>D112+D113</f>
        <v>2898424.04</v>
      </c>
      <c r="E124" s="282">
        <f>E112+E113</f>
        <v>1131675.26</v>
      </c>
      <c r="F124" s="282">
        <f>F112+F113</f>
        <v>1028983.4199999999</v>
      </c>
      <c r="G124" s="283">
        <f t="shared" si="29"/>
        <v>-102691.84000000008</v>
      </c>
      <c r="H124" s="282">
        <f t="shared" si="31"/>
        <v>90.9256795098622</v>
      </c>
      <c r="I124" s="284">
        <f t="shared" si="30"/>
        <v>-1869440.62</v>
      </c>
      <c r="J124" s="284">
        <f t="shared" si="32"/>
        <v>35.50147962476877</v>
      </c>
      <c r="Q124" s="244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92" sqref="F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1" t="s">
        <v>204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86"/>
      <c r="S1" s="86"/>
      <c r="T1" s="86"/>
      <c r="U1" s="87"/>
    </row>
    <row r="2" spans="2:21" s="1" customFormat="1" ht="15.75" customHeight="1">
      <c r="B2" s="322"/>
      <c r="C2" s="322"/>
      <c r="D2" s="322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23"/>
      <c r="B3" s="325"/>
      <c r="C3" s="326" t="s">
        <v>0</v>
      </c>
      <c r="D3" s="327" t="s">
        <v>151</v>
      </c>
      <c r="E3" s="32"/>
      <c r="F3" s="328" t="s">
        <v>26</v>
      </c>
      <c r="G3" s="329"/>
      <c r="H3" s="329"/>
      <c r="I3" s="329"/>
      <c r="J3" s="330"/>
      <c r="K3" s="83"/>
      <c r="L3" s="83"/>
      <c r="M3" s="83"/>
      <c r="N3" s="331" t="s">
        <v>199</v>
      </c>
      <c r="O3" s="332" t="s">
        <v>198</v>
      </c>
      <c r="P3" s="332"/>
      <c r="Q3" s="332"/>
      <c r="R3" s="332"/>
      <c r="S3" s="332"/>
      <c r="T3" s="332"/>
      <c r="U3" s="332"/>
    </row>
    <row r="4" spans="1:21" ht="22.5" customHeight="1">
      <c r="A4" s="323"/>
      <c r="B4" s="325"/>
      <c r="C4" s="326"/>
      <c r="D4" s="327"/>
      <c r="E4" s="333" t="s">
        <v>195</v>
      </c>
      <c r="F4" s="315" t="s">
        <v>33</v>
      </c>
      <c r="G4" s="305" t="s">
        <v>196</v>
      </c>
      <c r="H4" s="317" t="s">
        <v>197</v>
      </c>
      <c r="I4" s="305" t="s">
        <v>138</v>
      </c>
      <c r="J4" s="317" t="s">
        <v>139</v>
      </c>
      <c r="K4" s="85" t="s">
        <v>141</v>
      </c>
      <c r="L4" s="204" t="s">
        <v>113</v>
      </c>
      <c r="M4" s="90" t="s">
        <v>63</v>
      </c>
      <c r="N4" s="317"/>
      <c r="O4" s="319" t="s">
        <v>205</v>
      </c>
      <c r="P4" s="305" t="s">
        <v>49</v>
      </c>
      <c r="Q4" s="30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24"/>
      <c r="B5" s="325"/>
      <c r="C5" s="326"/>
      <c r="D5" s="327"/>
      <c r="E5" s="334"/>
      <c r="F5" s="316"/>
      <c r="G5" s="306"/>
      <c r="H5" s="318"/>
      <c r="I5" s="306"/>
      <c r="J5" s="318"/>
      <c r="K5" s="308" t="s">
        <v>200</v>
      </c>
      <c r="L5" s="309"/>
      <c r="M5" s="310"/>
      <c r="N5" s="318"/>
      <c r="O5" s="320"/>
      <c r="P5" s="306"/>
      <c r="Q5" s="307"/>
      <c r="R5" s="311" t="s">
        <v>201</v>
      </c>
      <c r="S5" s="312"/>
      <c r="T5" s="313" t="s">
        <v>202</v>
      </c>
      <c r="U5" s="313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92">
        <f>F9+F15+F18+F19+F23+F40</f>
        <v>400312.256</v>
      </c>
      <c r="G8" s="151">
        <f aca="true" t="shared" si="0" ref="G8:G40">F8-E8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 aca="true" t="shared" si="1" ref="L8:L54">F8-K8</f>
        <v>106181.636</v>
      </c>
      <c r="M8" s="205">
        <f aca="true" t="shared" si="2" ref="M8:M31">F8/K8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 t="shared" si="0"/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 t="shared" si="1"/>
        <v>65058.302000000025</v>
      </c>
      <c r="M9" s="206">
        <f t="shared" si="2"/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 t="shared" si="0"/>
        <v>4229.859999999986</v>
      </c>
      <c r="H10" s="30">
        <f aca="true" t="shared" si="3" ref="H10:H39">F10/E10*100</f>
        <v>102.11349282487907</v>
      </c>
      <c r="I10" s="104">
        <f aca="true" t="shared" si="4" ref="I10:I40">F10-D10</f>
        <v>-496951.14</v>
      </c>
      <c r="J10" s="104">
        <f aca="true" t="shared" si="5" ref="J10:J39">F10/D10*100</f>
        <v>29.14029746890493</v>
      </c>
      <c r="K10" s="106">
        <v>137815.99</v>
      </c>
      <c r="L10" s="106">
        <f t="shared" si="1"/>
        <v>66549.87</v>
      </c>
      <c r="M10" s="207">
        <f t="shared" si="2"/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 aca="true" t="shared" si="6" ref="P10:P40">O10-N10</f>
        <v>2426.4899999999907</v>
      </c>
      <c r="Q10" s="104">
        <f aca="true" t="shared" si="7" ref="Q10:Q27">O10/N10*100</f>
        <v>104.52500745934654</v>
      </c>
      <c r="R10" s="37"/>
      <c r="S10" s="100">
        <f aca="true" t="shared" si="8" ref="S10:S35">O10-R10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 t="shared" si="0"/>
        <v>-2270.8500000000004</v>
      </c>
      <c r="H11" s="30">
        <f t="shared" si="3"/>
        <v>84.55204081632652</v>
      </c>
      <c r="I11" s="104">
        <f t="shared" si="4"/>
        <v>-34076.85</v>
      </c>
      <c r="J11" s="104">
        <f t="shared" si="5"/>
        <v>26.725906334666494</v>
      </c>
      <c r="K11" s="106">
        <v>11487.54</v>
      </c>
      <c r="L11" s="106">
        <f t="shared" si="1"/>
        <v>941.6099999999988</v>
      </c>
      <c r="M11" s="207">
        <f t="shared" si="2"/>
        <v>1.081967940916854</v>
      </c>
      <c r="N11" s="105">
        <f>E11-березень!E11</f>
        <v>3900</v>
      </c>
      <c r="O11" s="144">
        <f>F11-березень!F11</f>
        <v>3324.67</v>
      </c>
      <c r="P11" s="106">
        <f t="shared" si="6"/>
        <v>-575.3299999999999</v>
      </c>
      <c r="Q11" s="104">
        <f t="shared" si="7"/>
        <v>85.24794871794872</v>
      </c>
      <c r="R11" s="37"/>
      <c r="S11" s="100">
        <f t="shared" si="8"/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 t="shared" si="0"/>
        <v>269.59000000000015</v>
      </c>
      <c r="H12" s="30">
        <f t="shared" si="3"/>
        <v>111.52094017094018</v>
      </c>
      <c r="I12" s="104">
        <f t="shared" si="4"/>
        <v>-5670.41</v>
      </c>
      <c r="J12" s="104">
        <f t="shared" si="5"/>
        <v>31.51678743961353</v>
      </c>
      <c r="K12" s="106">
        <v>4096.43</v>
      </c>
      <c r="L12" s="106">
        <f t="shared" si="1"/>
        <v>-1486.8400000000001</v>
      </c>
      <c r="M12" s="207">
        <f t="shared" si="2"/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 t="shared" si="6"/>
        <v>244.9000000000001</v>
      </c>
      <c r="Q12" s="104">
        <f t="shared" si="7"/>
        <v>140.8166666666667</v>
      </c>
      <c r="R12" s="37"/>
      <c r="S12" s="100">
        <f t="shared" si="8"/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 t="shared" si="0"/>
        <v>-90.67000000000007</v>
      </c>
      <c r="H13" s="30">
        <f t="shared" si="3"/>
        <v>97.25242424242424</v>
      </c>
      <c r="I13" s="104">
        <f t="shared" si="4"/>
        <v>-6180.67</v>
      </c>
      <c r="J13" s="104">
        <f t="shared" si="5"/>
        <v>34.17816826411075</v>
      </c>
      <c r="K13" s="106">
        <v>3211.48</v>
      </c>
      <c r="L13" s="106">
        <f t="shared" si="1"/>
        <v>-2.150000000000091</v>
      </c>
      <c r="M13" s="207">
        <f t="shared" si="2"/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 t="shared" si="6"/>
        <v>-199.82999999999993</v>
      </c>
      <c r="Q13" s="104">
        <f t="shared" si="7"/>
        <v>74.38076923076923</v>
      </c>
      <c r="R13" s="37"/>
      <c r="S13" s="100">
        <f t="shared" si="8"/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 t="shared" si="0"/>
        <v>98.17000000000002</v>
      </c>
      <c r="H14" s="30">
        <f t="shared" si="3"/>
        <v>125.56510416666666</v>
      </c>
      <c r="I14" s="104">
        <f t="shared" si="4"/>
        <v>-669.8299999999999</v>
      </c>
      <c r="J14" s="104">
        <f t="shared" si="5"/>
        <v>41.85503472222222</v>
      </c>
      <c r="K14" s="106">
        <v>1426.36</v>
      </c>
      <c r="L14" s="106">
        <f t="shared" si="1"/>
        <v>-944.1899999999998</v>
      </c>
      <c r="M14" s="207">
        <f t="shared" si="2"/>
        <v>0.33804228946409043</v>
      </c>
      <c r="N14" s="105">
        <f>E14-березень!E14</f>
        <v>96</v>
      </c>
      <c r="O14" s="144">
        <f>F14-березень!F14</f>
        <v>108.5</v>
      </c>
      <c r="P14" s="106">
        <f t="shared" si="6"/>
        <v>12.5</v>
      </c>
      <c r="Q14" s="104">
        <f t="shared" si="7"/>
        <v>113.02083333333333</v>
      </c>
      <c r="R14" s="37"/>
      <c r="S14" s="100">
        <f t="shared" si="8"/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 t="shared" si="0"/>
        <v>-487.36</v>
      </c>
      <c r="H15" s="157">
        <f>F15/E15*100</f>
        <v>-185.00584795321637</v>
      </c>
      <c r="I15" s="158">
        <f t="shared" si="4"/>
        <v>-867.36</v>
      </c>
      <c r="J15" s="158">
        <f>F15/D15*100</f>
        <v>-57.415607985480946</v>
      </c>
      <c r="K15" s="161">
        <v>185.84</v>
      </c>
      <c r="L15" s="161">
        <f t="shared" si="1"/>
        <v>-502.20000000000005</v>
      </c>
      <c r="M15" s="208">
        <f t="shared" si="2"/>
        <v>-1.7023245802841154</v>
      </c>
      <c r="N15" s="164">
        <f>E15-березень!E15</f>
        <v>0</v>
      </c>
      <c r="O15" s="168">
        <f>F15-березень!F15</f>
        <v>50.06</v>
      </c>
      <c r="P15" s="161">
        <f t="shared" si="6"/>
        <v>50.06</v>
      </c>
      <c r="Q15" s="158"/>
      <c r="R15" s="37">
        <v>46</v>
      </c>
      <c r="S15" s="100">
        <f t="shared" si="8"/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E16-березень!E16</f>
        <v>0</v>
      </c>
      <c r="O16" s="168">
        <f>F16-березень!F16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E17-березень!E17</f>
        <v>0</v>
      </c>
      <c r="O17" s="168">
        <f>F17-березень!F17</f>
        <v>0</v>
      </c>
      <c r="P17" s="167">
        <f t="shared" si="6"/>
        <v>0</v>
      </c>
      <c r="Q17" s="158" t="e">
        <f t="shared" si="7"/>
        <v>#DIV/0!</v>
      </c>
      <c r="R17" s="104"/>
      <c r="S17" s="100">
        <f t="shared" si="8"/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E18-березень!E18</f>
        <v>0</v>
      </c>
      <c r="O18" s="168">
        <f>F18-березень!F18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  <c r="T18" s="37"/>
      <c r="U18" s="94"/>
    </row>
    <row r="19" spans="1:21" s="6" customFormat="1" ht="18">
      <c r="A19" s="8"/>
      <c r="B19" s="13" t="s">
        <v>180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 t="shared" si="0"/>
        <v>-1795.2359999999971</v>
      </c>
      <c r="H19" s="164">
        <f t="shared" si="3"/>
        <v>95.26322955145119</v>
      </c>
      <c r="I19" s="165">
        <f t="shared" si="4"/>
        <v>-93895.236</v>
      </c>
      <c r="J19" s="165">
        <f t="shared" si="5"/>
        <v>27.77289538461539</v>
      </c>
      <c r="K19" s="161">
        <v>26018.63</v>
      </c>
      <c r="L19" s="167">
        <f t="shared" si="1"/>
        <v>10086.134000000002</v>
      </c>
      <c r="M19" s="213">
        <f t="shared" si="2"/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 t="shared" si="6"/>
        <v>-1629.0959999999977</v>
      </c>
      <c r="Q19" s="165">
        <f t="shared" si="7"/>
        <v>83.87033663366338</v>
      </c>
      <c r="R19" s="37">
        <v>8000</v>
      </c>
      <c r="S19" s="100">
        <f t="shared" si="8"/>
        <v>470.90400000000227</v>
      </c>
      <c r="T19" s="37"/>
      <c r="U19" s="94"/>
    </row>
    <row r="20" spans="1:21" s="6" customFormat="1" ht="61.5">
      <c r="A20" s="8"/>
      <c r="B20" s="257" t="s">
        <v>213</v>
      </c>
      <c r="C20" s="123">
        <v>14040000</v>
      </c>
      <c r="D20" s="258">
        <v>76500</v>
      </c>
      <c r="E20" s="258">
        <v>23900</v>
      </c>
      <c r="F20" s="201">
        <v>21979.58</v>
      </c>
      <c r="G20" s="258">
        <f t="shared" si="0"/>
        <v>-1920.4199999999983</v>
      </c>
      <c r="H20" s="195">
        <f t="shared" si="3"/>
        <v>91.96476987447699</v>
      </c>
      <c r="I20" s="259">
        <f t="shared" si="4"/>
        <v>-54520.42</v>
      </c>
      <c r="J20" s="259">
        <f t="shared" si="5"/>
        <v>28.73147712418301</v>
      </c>
      <c r="K20" s="260">
        <v>26018.6</v>
      </c>
      <c r="L20" s="166">
        <f t="shared" si="1"/>
        <v>-4039.019999999997</v>
      </c>
      <c r="M20" s="261">
        <f t="shared" si="2"/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 t="shared" si="6"/>
        <v>8145.52</v>
      </c>
      <c r="Q20" s="259">
        <f t="shared" si="7"/>
        <v>-108.85948717948719</v>
      </c>
      <c r="R20" s="107">
        <v>4300</v>
      </c>
      <c r="S20" s="100">
        <f t="shared" si="8"/>
        <v>-54.47999999999956</v>
      </c>
      <c r="T20" s="107"/>
      <c r="U20" s="108"/>
    </row>
    <row r="21" spans="1:21" s="6" customFormat="1" ht="18">
      <c r="A21" s="8"/>
      <c r="B21" s="257" t="s">
        <v>178</v>
      </c>
      <c r="C21" s="123">
        <v>14021900</v>
      </c>
      <c r="D21" s="258">
        <v>10700</v>
      </c>
      <c r="E21" s="258">
        <v>3000</v>
      </c>
      <c r="F21" s="201">
        <v>3118.94</v>
      </c>
      <c r="G21" s="258">
        <f t="shared" si="0"/>
        <v>118.94000000000005</v>
      </c>
      <c r="H21" s="195"/>
      <c r="I21" s="259">
        <f t="shared" si="4"/>
        <v>-7581.0599999999995</v>
      </c>
      <c r="J21" s="259">
        <f t="shared" si="5"/>
        <v>29.14897196261682</v>
      </c>
      <c r="K21" s="260">
        <v>0</v>
      </c>
      <c r="L21" s="166">
        <f t="shared" si="1"/>
        <v>3118.94</v>
      </c>
      <c r="M21" s="261"/>
      <c r="N21" s="195">
        <f>E21-березень!E21</f>
        <v>3000</v>
      </c>
      <c r="O21" s="179">
        <f>F21-березень!F21</f>
        <v>882.1500000000001</v>
      </c>
      <c r="P21" s="166">
        <f t="shared" si="6"/>
        <v>-2117.85</v>
      </c>
      <c r="Q21" s="259"/>
      <c r="R21" s="107">
        <v>700</v>
      </c>
      <c r="S21" s="100">
        <f t="shared" si="8"/>
        <v>182.1500000000001</v>
      </c>
      <c r="T21" s="107"/>
      <c r="U21" s="108"/>
    </row>
    <row r="22" spans="1:21" s="6" customFormat="1" ht="18">
      <c r="A22" s="8"/>
      <c r="B22" s="257" t="s">
        <v>179</v>
      </c>
      <c r="C22" s="123">
        <v>14031900</v>
      </c>
      <c r="D22" s="258">
        <v>42800</v>
      </c>
      <c r="E22" s="258">
        <v>11000</v>
      </c>
      <c r="F22" s="201">
        <v>11006.24</v>
      </c>
      <c r="G22" s="258">
        <f t="shared" si="0"/>
        <v>6.239999999999782</v>
      </c>
      <c r="H22" s="195"/>
      <c r="I22" s="259">
        <f t="shared" si="4"/>
        <v>-31793.760000000002</v>
      </c>
      <c r="J22" s="259">
        <f t="shared" si="5"/>
        <v>25.715514018691586</v>
      </c>
      <c r="K22" s="260">
        <v>0</v>
      </c>
      <c r="L22" s="166">
        <f t="shared" si="1"/>
        <v>11006.24</v>
      </c>
      <c r="M22" s="261"/>
      <c r="N22" s="195">
        <f>E22-березень!E22</f>
        <v>11000</v>
      </c>
      <c r="O22" s="179">
        <f>F22-березень!F22</f>
        <v>3343.2299999999996</v>
      </c>
      <c r="P22" s="166">
        <f t="shared" si="6"/>
        <v>-7656.77</v>
      </c>
      <c r="Q22" s="259"/>
      <c r="R22" s="107">
        <v>3000</v>
      </c>
      <c r="S22" s="100">
        <f t="shared" si="8"/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 t="shared" si="0"/>
        <v>2332.789999999979</v>
      </c>
      <c r="H23" s="157">
        <f t="shared" si="3"/>
        <v>101.67854997067849</v>
      </c>
      <c r="I23" s="158">
        <f t="shared" si="4"/>
        <v>-259820.81</v>
      </c>
      <c r="J23" s="158">
        <f t="shared" si="5"/>
        <v>35.22779517169118</v>
      </c>
      <c r="K23" s="158">
        <v>109782.5</v>
      </c>
      <c r="L23" s="161">
        <f t="shared" si="1"/>
        <v>31526.78999999998</v>
      </c>
      <c r="M23" s="209">
        <f t="shared" si="2"/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 t="shared" si="6"/>
        <v>998.7299999999814</v>
      </c>
      <c r="Q23" s="158">
        <f t="shared" si="7"/>
        <v>102.74844515383342</v>
      </c>
      <c r="R23" s="288">
        <f>R24+R32+R33+R34+R35</f>
        <v>35614</v>
      </c>
      <c r="S23" s="100">
        <f t="shared" si="8"/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 t="shared" si="0"/>
        <v>333.1900000000023</v>
      </c>
      <c r="H24" s="157">
        <f t="shared" si="3"/>
        <v>100.49475972546841</v>
      </c>
      <c r="I24" s="158">
        <f t="shared" si="4"/>
        <v>-138944.01</v>
      </c>
      <c r="J24" s="158">
        <f t="shared" si="5"/>
        <v>32.754168259760625</v>
      </c>
      <c r="K24" s="158">
        <v>58036.24</v>
      </c>
      <c r="L24" s="161">
        <f t="shared" si="1"/>
        <v>9640.750000000007</v>
      </c>
      <c r="M24" s="209">
        <f t="shared" si="2"/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 t="shared" si="6"/>
        <v>-389.36999999999534</v>
      </c>
      <c r="Q24" s="158">
        <f t="shared" si="7"/>
        <v>98.00353791724352</v>
      </c>
      <c r="R24" s="107">
        <f>R25+R28+R29</f>
        <v>18772</v>
      </c>
      <c r="S24" s="100">
        <f t="shared" si="8"/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 t="shared" si="0"/>
        <v>416.3099999999995</v>
      </c>
      <c r="H25" s="173">
        <f t="shared" si="3"/>
        <v>104.4620578778135</v>
      </c>
      <c r="I25" s="174">
        <f t="shared" si="4"/>
        <v>-13062.69</v>
      </c>
      <c r="J25" s="174">
        <f t="shared" si="5"/>
        <v>42.73010653689333</v>
      </c>
      <c r="K25" s="175">
        <v>8413.21</v>
      </c>
      <c r="L25" s="166">
        <f t="shared" si="1"/>
        <v>1333.1000000000004</v>
      </c>
      <c r="M25" s="215">
        <f t="shared" si="2"/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 t="shared" si="6"/>
        <v>152.3699999999999</v>
      </c>
      <c r="Q25" s="174">
        <f t="shared" si="7"/>
        <v>103.47876712328767</v>
      </c>
      <c r="R25" s="107">
        <v>3710</v>
      </c>
      <c r="S25" s="100">
        <f t="shared" si="8"/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 t="shared" si="0"/>
        <v>-349.76</v>
      </c>
      <c r="H26" s="199">
        <f t="shared" si="3"/>
        <v>36.407272727272726</v>
      </c>
      <c r="I26" s="200">
        <f t="shared" si="4"/>
        <v>-1622.06</v>
      </c>
      <c r="J26" s="200">
        <f t="shared" si="5"/>
        <v>10.988311474510235</v>
      </c>
      <c r="K26" s="200">
        <v>252.55</v>
      </c>
      <c r="L26" s="200">
        <f t="shared" si="1"/>
        <v>-52.31</v>
      </c>
      <c r="M26" s="228">
        <f t="shared" si="2"/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 t="shared" si="6"/>
        <v>-256.83</v>
      </c>
      <c r="Q26" s="200">
        <f t="shared" si="7"/>
        <v>14.390000000000006</v>
      </c>
      <c r="R26" s="107"/>
      <c r="S26" s="100">
        <f t="shared" si="8"/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 t="shared" si="0"/>
        <v>766.0699999999997</v>
      </c>
      <c r="H27" s="199">
        <f t="shared" si="3"/>
        <v>108.72517084282461</v>
      </c>
      <c r="I27" s="200">
        <f t="shared" si="4"/>
        <v>-11440.630000000001</v>
      </c>
      <c r="J27" s="200">
        <f t="shared" si="5"/>
        <v>45.48628417045081</v>
      </c>
      <c r="K27" s="200">
        <v>8160.66</v>
      </c>
      <c r="L27" s="200">
        <f t="shared" si="1"/>
        <v>1385.4099999999999</v>
      </c>
      <c r="M27" s="228">
        <f t="shared" si="2"/>
        <v>1.1697669061080844</v>
      </c>
      <c r="N27" s="237">
        <f>E27-березень!E27</f>
        <v>4080</v>
      </c>
      <c r="O27" s="237">
        <f>F27-березень!F27</f>
        <v>4489.2</v>
      </c>
      <c r="P27" s="200">
        <f t="shared" si="6"/>
        <v>409.1999999999998</v>
      </c>
      <c r="Q27" s="200">
        <f t="shared" si="7"/>
        <v>110.02941176470588</v>
      </c>
      <c r="R27" s="107"/>
      <c r="S27" s="100">
        <f t="shared" si="8"/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 t="shared" si="0"/>
        <v>-19.28</v>
      </c>
      <c r="H28" s="173">
        <f t="shared" si="3"/>
        <v>84.42649434571891</v>
      </c>
      <c r="I28" s="174">
        <f t="shared" si="4"/>
        <v>-715.48</v>
      </c>
      <c r="J28" s="174">
        <f t="shared" si="5"/>
        <v>12.746341463414634</v>
      </c>
      <c r="K28" s="174">
        <v>386.58</v>
      </c>
      <c r="L28" s="174">
        <f t="shared" si="1"/>
        <v>-282.06</v>
      </c>
      <c r="M28" s="212">
        <f t="shared" si="2"/>
        <v>0.27037094521185784</v>
      </c>
      <c r="N28" s="195">
        <f>E28-березень!E28</f>
        <v>68</v>
      </c>
      <c r="O28" s="179">
        <f>F28-березень!F28</f>
        <v>73.27</v>
      </c>
      <c r="P28" s="177">
        <f t="shared" si="6"/>
        <v>5.269999999999996</v>
      </c>
      <c r="Q28" s="174">
        <f>O28/N28*100</f>
        <v>107.74999999999999</v>
      </c>
      <c r="R28" s="107">
        <v>7</v>
      </c>
      <c r="S28" s="100">
        <f t="shared" si="8"/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 t="shared" si="0"/>
        <v>-63.83999999999651</v>
      </c>
      <c r="H29" s="173">
        <f t="shared" si="3"/>
        <v>99.88972188633616</v>
      </c>
      <c r="I29" s="174">
        <f t="shared" si="4"/>
        <v>-125165.84</v>
      </c>
      <c r="J29" s="174">
        <f t="shared" si="5"/>
        <v>31.60037597272012</v>
      </c>
      <c r="K29" s="175">
        <v>49236.46</v>
      </c>
      <c r="L29" s="175">
        <f t="shared" si="1"/>
        <v>8589.700000000004</v>
      </c>
      <c r="M29" s="211">
        <f t="shared" si="2"/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 t="shared" si="6"/>
        <v>-547.0099999999948</v>
      </c>
      <c r="Q29" s="174">
        <f>O29/N29*100</f>
        <v>96.36658917303225</v>
      </c>
      <c r="R29" s="107">
        <v>15055</v>
      </c>
      <c r="S29" s="100">
        <f t="shared" si="8"/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 t="shared" si="0"/>
        <v>1874.5299999999988</v>
      </c>
      <c r="H30" s="199">
        <f t="shared" si="3"/>
        <v>110.75461847389559</v>
      </c>
      <c r="I30" s="200">
        <f t="shared" si="4"/>
        <v>-38228.47</v>
      </c>
      <c r="J30" s="200">
        <f t="shared" si="5"/>
        <v>33.55383866650444</v>
      </c>
      <c r="K30" s="200">
        <v>15205.9</v>
      </c>
      <c r="L30" s="200">
        <f t="shared" si="1"/>
        <v>4098.629999999999</v>
      </c>
      <c r="M30" s="228">
        <f t="shared" si="2"/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 t="shared" si="6"/>
        <v>269.0899999999983</v>
      </c>
      <c r="Q30" s="200">
        <f>O30/N30*100</f>
        <v>105.84978260869562</v>
      </c>
      <c r="R30" s="107"/>
      <c r="S30" s="100">
        <f t="shared" si="8"/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 t="shared" si="0"/>
        <v>-1938.3700000000026</v>
      </c>
      <c r="H31" s="199">
        <f t="shared" si="3"/>
        <v>95.209169550173</v>
      </c>
      <c r="I31" s="200">
        <f t="shared" si="4"/>
        <v>-86937.37</v>
      </c>
      <c r="J31" s="200">
        <f t="shared" si="5"/>
        <v>30.704556867183697</v>
      </c>
      <c r="K31" s="200">
        <v>34030.56</v>
      </c>
      <c r="L31" s="200">
        <f t="shared" si="1"/>
        <v>4491.07</v>
      </c>
      <c r="M31" s="228">
        <f t="shared" si="2"/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 t="shared" si="6"/>
        <v>-816.1000000000022</v>
      </c>
      <c r="Q31" s="200">
        <f>O31/N31*100</f>
        <v>92.19416547106646</v>
      </c>
      <c r="R31" s="107"/>
      <c r="S31" s="100">
        <f t="shared" si="8"/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 t="shared" si="6"/>
        <v>0</v>
      </c>
      <c r="Q32" s="158"/>
      <c r="R32" s="107"/>
      <c r="S32" s="100">
        <f t="shared" si="8"/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 t="shared" si="0"/>
        <v>25.409999999999997</v>
      </c>
      <c r="H33" s="157">
        <f t="shared" si="3"/>
        <v>194.11111111111111</v>
      </c>
      <c r="I33" s="158">
        <f t="shared" si="4"/>
        <v>-62.59</v>
      </c>
      <c r="J33" s="158">
        <f t="shared" si="5"/>
        <v>45.57391304347826</v>
      </c>
      <c r="K33" s="158">
        <v>32.71</v>
      </c>
      <c r="L33" s="158">
        <f t="shared" si="1"/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 t="shared" si="6"/>
        <v>7.209999999999994</v>
      </c>
      <c r="Q33" s="158">
        <f>O33/N33*100</f>
        <v>190.12499999999991</v>
      </c>
      <c r="R33" s="107">
        <v>15</v>
      </c>
      <c r="S33" s="100">
        <f t="shared" si="8"/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 t="shared" si="0"/>
        <v>-27.35</v>
      </c>
      <c r="H34" s="157"/>
      <c r="I34" s="158">
        <f t="shared" si="4"/>
        <v>-27.35</v>
      </c>
      <c r="J34" s="158"/>
      <c r="K34" s="158">
        <v>-107.01</v>
      </c>
      <c r="L34" s="158">
        <f t="shared" si="1"/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 t="shared" si="6"/>
        <v>-2.530000000000001</v>
      </c>
      <c r="Q34" s="158"/>
      <c r="R34" s="107"/>
      <c r="S34" s="100">
        <f t="shared" si="8"/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 t="shared" si="0"/>
        <v>2001.3399999999965</v>
      </c>
      <c r="H35" s="164">
        <f t="shared" si="3"/>
        <v>102.79494509515304</v>
      </c>
      <c r="I35" s="165">
        <f t="shared" si="4"/>
        <v>-120787.06000000001</v>
      </c>
      <c r="J35" s="165">
        <f t="shared" si="5"/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 t="shared" si="6"/>
        <v>1383.419999999991</v>
      </c>
      <c r="Q35" s="165">
        <f>O35/N35*100</f>
        <v>108.22142984489209</v>
      </c>
      <c r="R35" s="107">
        <v>16827</v>
      </c>
      <c r="S35" s="100">
        <f t="shared" si="8"/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0.18</v>
      </c>
      <c r="L36" s="127">
        <f t="shared" si="1"/>
        <v>-0.18</v>
      </c>
      <c r="M36" s="216">
        <f aca="true" t="shared" si="9" ref="M36:M42">F36/K36</f>
        <v>0</v>
      </c>
      <c r="N36" s="105">
        <f>E36-березень!E36</f>
        <v>0</v>
      </c>
      <c r="O36" s="144">
        <f>F36-березень!F36</f>
        <v>0</v>
      </c>
      <c r="P36" s="106">
        <f t="shared" si="6"/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 t="shared" si="0"/>
        <v>778.4200000000001</v>
      </c>
      <c r="H37" s="105">
        <f t="shared" si="3"/>
        <v>105.88819969742813</v>
      </c>
      <c r="I37" s="104">
        <f t="shared" si="4"/>
        <v>-27001.58</v>
      </c>
      <c r="J37" s="104">
        <f t="shared" si="5"/>
        <v>34.142487804878044</v>
      </c>
      <c r="K37" s="127">
        <v>12484.76</v>
      </c>
      <c r="L37" s="127">
        <f t="shared" si="1"/>
        <v>1513.6599999999999</v>
      </c>
      <c r="M37" s="216">
        <f t="shared" si="9"/>
        <v>1.1212406165597095</v>
      </c>
      <c r="N37" s="105">
        <f>E37-березень!E37</f>
        <v>2820</v>
      </c>
      <c r="O37" s="144">
        <f>F37-березень!F37</f>
        <v>3050.5</v>
      </c>
      <c r="P37" s="106">
        <f t="shared" si="6"/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 t="shared" si="0"/>
        <v>1225.5199999999968</v>
      </c>
      <c r="H38" s="105">
        <f t="shared" si="3"/>
        <v>102.09993145990404</v>
      </c>
      <c r="I38" s="104">
        <f t="shared" si="4"/>
        <v>-93753.58000000002</v>
      </c>
      <c r="J38" s="104">
        <f t="shared" si="5"/>
        <v>38.85866031560117</v>
      </c>
      <c r="K38" s="127">
        <v>39321.61</v>
      </c>
      <c r="L38" s="127">
        <f t="shared" si="1"/>
        <v>20263.909999999996</v>
      </c>
      <c r="M38" s="216">
        <f t="shared" si="9"/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 t="shared" si="6"/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 t="shared" si="0"/>
        <v>-2.6099999999999994</v>
      </c>
      <c r="H39" s="105">
        <f t="shared" si="3"/>
        <v>89.8443579766537</v>
      </c>
      <c r="I39" s="104">
        <f t="shared" si="4"/>
        <v>-31.91</v>
      </c>
      <c r="J39" s="104">
        <f t="shared" si="5"/>
        <v>41.981818181818184</v>
      </c>
      <c r="K39" s="127">
        <v>14.01</v>
      </c>
      <c r="L39" s="127">
        <f t="shared" si="1"/>
        <v>9.08</v>
      </c>
      <c r="M39" s="216">
        <f t="shared" si="9"/>
        <v>1.6481084939329051</v>
      </c>
      <c r="N39" s="105">
        <f>E39-березень!E39</f>
        <v>7</v>
      </c>
      <c r="O39" s="144">
        <f>F39-березень!F39</f>
        <v>6.98</v>
      </c>
      <c r="P39" s="106">
        <f t="shared" si="6"/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E40-березень!E40</f>
        <v>0</v>
      </c>
      <c r="O40" s="160">
        <f>F40-березень!F40</f>
        <v>0</v>
      </c>
      <c r="P40" s="36">
        <f t="shared" si="6"/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92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 t="shared" si="1"/>
        <v>2677.2660000000033</v>
      </c>
      <c r="M41" s="205">
        <f t="shared" si="9"/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 aca="true" t="shared" si="10" ref="H42:H65">F42/E42*100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 t="shared" si="1"/>
        <v>-276.61</v>
      </c>
      <c r="M42" s="218">
        <f t="shared" si="9"/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 aca="true" t="shared" si="11" ref="Q42:Q65">O42/N42*100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 aca="true" t="shared" si="12" ref="G43:G66">F43-E43</f>
        <v>-293.1369999999997</v>
      </c>
      <c r="H43" s="164">
        <f t="shared" si="10"/>
        <v>96.38102469135804</v>
      </c>
      <c r="I43" s="165">
        <f aca="true" t="shared" si="13" ref="I43:I66">F43-D43</f>
        <v>-22193.137</v>
      </c>
      <c r="J43" s="165">
        <f>F43/D43*100</f>
        <v>26.022876666666665</v>
      </c>
      <c r="K43" s="165">
        <v>6753.41</v>
      </c>
      <c r="L43" s="165">
        <f t="shared" si="1"/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 aca="true" t="shared" si="14" ref="P43:P66">O43-N43</f>
        <v>305.02300000000014</v>
      </c>
      <c r="Q43" s="165">
        <f t="shared" si="11"/>
        <v>110.89367857142858</v>
      </c>
      <c r="R43" s="37">
        <v>3105</v>
      </c>
      <c r="S43" s="37">
        <f aca="true" t="shared" si="15" ref="S43:S66">O43-R43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 t="shared" si="12"/>
        <v>62.80200000000001</v>
      </c>
      <c r="H44" s="164">
        <f>F44/E44*100</f>
        <v>414.01000000000005</v>
      </c>
      <c r="I44" s="165">
        <f t="shared" si="13"/>
        <v>42.80200000000001</v>
      </c>
      <c r="J44" s="165">
        <f aca="true" t="shared" si="16" ref="J44:J65">F44/D44*100</f>
        <v>207.00500000000002</v>
      </c>
      <c r="K44" s="165">
        <v>27.51</v>
      </c>
      <c r="L44" s="165">
        <f t="shared" si="1"/>
        <v>55.292</v>
      </c>
      <c r="M44" s="218">
        <f aca="true" t="shared" si="17" ref="M44:M66">F44/K44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 t="shared" si="14"/>
        <v>9.722000000000008</v>
      </c>
      <c r="Q44" s="165">
        <f t="shared" si="11"/>
        <v>1072.2000000000007</v>
      </c>
      <c r="R44" s="37">
        <v>1</v>
      </c>
      <c r="S44" s="37">
        <f t="shared" si="15"/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E45-березень!E45</f>
        <v>0</v>
      </c>
      <c r="O45" s="168">
        <f>F45-березень!F45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 t="shared" si="12"/>
        <v>310.483</v>
      </c>
      <c r="H46" s="164">
        <f t="shared" si="10"/>
        <v>469.6226190476191</v>
      </c>
      <c r="I46" s="165">
        <f t="shared" si="13"/>
        <v>134.483</v>
      </c>
      <c r="J46" s="165">
        <f t="shared" si="16"/>
        <v>151.72423076923076</v>
      </c>
      <c r="K46" s="165">
        <v>34.2</v>
      </c>
      <c r="L46" s="165">
        <f t="shared" si="1"/>
        <v>360.283</v>
      </c>
      <c r="M46" s="218">
        <f t="shared" si="17"/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 t="shared" si="14"/>
        <v>94.72300000000001</v>
      </c>
      <c r="Q46" s="165">
        <f t="shared" si="11"/>
        <v>530.559090909091</v>
      </c>
      <c r="R46" s="37">
        <v>22</v>
      </c>
      <c r="S46" s="37">
        <f t="shared" si="15"/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 t="shared" si="12"/>
        <v>-32.99</v>
      </c>
      <c r="H47" s="164">
        <f t="shared" si="10"/>
        <v>2.9705882352941178</v>
      </c>
      <c r="I47" s="165">
        <f t="shared" si="13"/>
        <v>-96.49</v>
      </c>
      <c r="J47" s="165">
        <f t="shared" si="16"/>
        <v>1.035897435897436</v>
      </c>
      <c r="K47" s="165">
        <v>6.8</v>
      </c>
      <c r="L47" s="165">
        <f t="shared" si="1"/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 t="shared" si="14"/>
        <v>-6.300000000000001</v>
      </c>
      <c r="Q47" s="165">
        <f t="shared" si="11"/>
        <v>7.352941176470587</v>
      </c>
      <c r="R47" s="37">
        <v>0</v>
      </c>
      <c r="S47" s="37">
        <f t="shared" si="15"/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 t="shared" si="12"/>
        <v>53.47000000000003</v>
      </c>
      <c r="H48" s="164">
        <f t="shared" si="10"/>
        <v>115.72647058823532</v>
      </c>
      <c r="I48" s="165">
        <f t="shared" si="13"/>
        <v>-336.53</v>
      </c>
      <c r="J48" s="165">
        <f t="shared" si="16"/>
        <v>53.900000000000006</v>
      </c>
      <c r="K48" s="165">
        <v>0</v>
      </c>
      <c r="L48" s="165">
        <f t="shared" si="1"/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 t="shared" si="14"/>
        <v>32.52000000000004</v>
      </c>
      <c r="Q48" s="165">
        <f t="shared" si="11"/>
        <v>154.20000000000007</v>
      </c>
      <c r="R48" s="37">
        <v>100</v>
      </c>
      <c r="S48" s="37">
        <f t="shared" si="15"/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 t="shared" si="15"/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 t="shared" si="12"/>
        <v>441.5100000000002</v>
      </c>
      <c r="H50" s="164">
        <f t="shared" si="10"/>
        <v>110.41297169811321</v>
      </c>
      <c r="I50" s="165">
        <f t="shared" si="13"/>
        <v>-6318.49</v>
      </c>
      <c r="J50" s="165">
        <f t="shared" si="16"/>
        <v>42.55918181818182</v>
      </c>
      <c r="K50" s="165">
        <v>3201.41</v>
      </c>
      <c r="L50" s="165">
        <f t="shared" si="1"/>
        <v>1480.1000000000004</v>
      </c>
      <c r="M50" s="218">
        <f t="shared" si="17"/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 t="shared" si="14"/>
        <v>196.57000000000016</v>
      </c>
      <c r="Q50" s="165">
        <f t="shared" si="11"/>
        <v>121.84111111111113</v>
      </c>
      <c r="R50" s="37">
        <v>1200</v>
      </c>
      <c r="S50" s="37">
        <f t="shared" si="15"/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 t="shared" si="12"/>
        <v>75.37</v>
      </c>
      <c r="H51" s="164">
        <f t="shared" si="10"/>
        <v>175.37</v>
      </c>
      <c r="I51" s="165">
        <f t="shared" si="13"/>
        <v>-134.63</v>
      </c>
      <c r="J51" s="165">
        <f t="shared" si="16"/>
        <v>56.57096774193548</v>
      </c>
      <c r="K51" s="165">
        <v>1.37</v>
      </c>
      <c r="L51" s="165">
        <f t="shared" si="1"/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 t="shared" si="14"/>
        <v>15.170000000000016</v>
      </c>
      <c r="Q51" s="165">
        <f t="shared" si="11"/>
        <v>160.68000000000006</v>
      </c>
      <c r="R51" s="37">
        <v>45</v>
      </c>
      <c r="S51" s="37">
        <f t="shared" si="15"/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 t="shared" si="12"/>
        <v>7.359999999999999</v>
      </c>
      <c r="H52" s="164">
        <f t="shared" si="10"/>
        <v>284</v>
      </c>
      <c r="I52" s="165">
        <f t="shared" si="13"/>
        <v>-8.64</v>
      </c>
      <c r="J52" s="165">
        <f t="shared" si="16"/>
        <v>56.8</v>
      </c>
      <c r="K52" s="165">
        <v>0</v>
      </c>
      <c r="L52" s="165">
        <f t="shared" si="1"/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 t="shared" si="14"/>
        <v>6.359999999999999</v>
      </c>
      <c r="Q52" s="165">
        <f t="shared" si="11"/>
        <v>736</v>
      </c>
      <c r="R52" s="37">
        <v>1</v>
      </c>
      <c r="S52" s="37">
        <f t="shared" si="15"/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 t="shared" si="12"/>
        <v>-242.29799999999977</v>
      </c>
      <c r="H53" s="164">
        <f t="shared" si="10"/>
        <v>90.0288888888889</v>
      </c>
      <c r="I53" s="165">
        <f t="shared" si="13"/>
        <v>-5087.298</v>
      </c>
      <c r="J53" s="165">
        <f t="shared" si="16"/>
        <v>30.071505154639176</v>
      </c>
      <c r="K53" s="165">
        <v>2631.35</v>
      </c>
      <c r="L53" s="165">
        <f t="shared" si="1"/>
        <v>-443.6479999999997</v>
      </c>
      <c r="M53" s="218">
        <f t="shared" si="17"/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 t="shared" si="14"/>
        <v>-47.38799999999969</v>
      </c>
      <c r="Q53" s="165">
        <f t="shared" si="11"/>
        <v>92.23147540983612</v>
      </c>
      <c r="R53" s="37">
        <v>562.6</v>
      </c>
      <c r="S53" s="37">
        <f t="shared" si="15"/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 t="shared" si="12"/>
        <v>-40.738</v>
      </c>
      <c r="H54" s="164">
        <f t="shared" si="10"/>
        <v>87.65515151515152</v>
      </c>
      <c r="I54" s="165">
        <f t="shared" si="13"/>
        <v>-910.738</v>
      </c>
      <c r="J54" s="165">
        <f t="shared" si="16"/>
        <v>24.105166666666666</v>
      </c>
      <c r="K54" s="165">
        <v>1998.74</v>
      </c>
      <c r="L54" s="165">
        <f t="shared" si="1"/>
        <v>-1709.478</v>
      </c>
      <c r="M54" s="218">
        <f t="shared" si="17"/>
        <v>0.14472217497023124</v>
      </c>
      <c r="N54" s="164">
        <f>E54-березень!E54</f>
        <v>95</v>
      </c>
      <c r="O54" s="168">
        <f>F54-березень!F54</f>
        <v>43.262</v>
      </c>
      <c r="P54" s="167">
        <f t="shared" si="14"/>
        <v>-51.738</v>
      </c>
      <c r="Q54" s="165">
        <f t="shared" si="11"/>
        <v>45.53894736842105</v>
      </c>
      <c r="R54" s="37">
        <v>95</v>
      </c>
      <c r="S54" s="37">
        <f t="shared" si="15"/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 t="shared" si="12"/>
        <v>-14.620000000000005</v>
      </c>
      <c r="H55" s="30">
        <f t="shared" si="10"/>
        <v>94.58518518518518</v>
      </c>
      <c r="I55" s="104">
        <f t="shared" si="13"/>
        <v>-742.62</v>
      </c>
      <c r="J55" s="104">
        <f t="shared" si="16"/>
        <v>25.589178356713425</v>
      </c>
      <c r="K55" s="104">
        <v>235.42</v>
      </c>
      <c r="L55" s="104">
        <f>F55-K55</f>
        <v>19.960000000000008</v>
      </c>
      <c r="M55" s="109">
        <f t="shared" si="17"/>
        <v>1.0847846402174837</v>
      </c>
      <c r="N55" s="105">
        <f>E55-березень!E55</f>
        <v>80</v>
      </c>
      <c r="O55" s="144">
        <f>F55-березень!F55</f>
        <v>34.44</v>
      </c>
      <c r="P55" s="106">
        <f t="shared" si="14"/>
        <v>-45.56</v>
      </c>
      <c r="Q55" s="119">
        <f t="shared" si="11"/>
        <v>43.05</v>
      </c>
      <c r="R55" s="37"/>
      <c r="S55" s="37">
        <f t="shared" si="15"/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 t="shared" si="12"/>
        <v>0.12</v>
      </c>
      <c r="H56" s="30" t="e">
        <f t="shared" si="10"/>
        <v>#DIV/0!</v>
      </c>
      <c r="I56" s="104">
        <f t="shared" si="13"/>
        <v>-0.88</v>
      </c>
      <c r="J56" s="104">
        <f t="shared" si="16"/>
        <v>12</v>
      </c>
      <c r="K56" s="104">
        <v>0.15</v>
      </c>
      <c r="L56" s="104">
        <f>F56-K56</f>
        <v>-0.03</v>
      </c>
      <c r="M56" s="109">
        <f t="shared" si="17"/>
        <v>0.8</v>
      </c>
      <c r="N56" s="105">
        <f>E56-березень!E56</f>
        <v>0</v>
      </c>
      <c r="O56" s="144">
        <f>F56-березень!F56</f>
        <v>0.01999999999999999</v>
      </c>
      <c r="P56" s="106">
        <f t="shared" si="14"/>
        <v>0.01999999999999999</v>
      </c>
      <c r="Q56" s="119" t="e">
        <f t="shared" si="11"/>
        <v>#DIV/0!</v>
      </c>
      <c r="R56" s="37"/>
      <c r="S56" s="37">
        <f t="shared" si="15"/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</v>
      </c>
      <c r="L57" s="104">
        <f>F57-K57</f>
        <v>0</v>
      </c>
      <c r="M57" s="109" t="e">
        <f t="shared" si="17"/>
        <v>#DIV/0!</v>
      </c>
      <c r="N57" s="105">
        <f>E57-березень!E57</f>
        <v>0</v>
      </c>
      <c r="O57" s="144">
        <f>F57-березень!F57</f>
        <v>0</v>
      </c>
      <c r="P57" s="106">
        <f t="shared" si="14"/>
        <v>0</v>
      </c>
      <c r="Q57" s="119"/>
      <c r="R57" s="37"/>
      <c r="S57" s="37">
        <f t="shared" si="15"/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 t="shared" si="12"/>
        <v>-26.229999999999997</v>
      </c>
      <c r="H58" s="30">
        <f t="shared" si="10"/>
        <v>56.28333333333334</v>
      </c>
      <c r="I58" s="104">
        <f t="shared" si="13"/>
        <v>-166.23</v>
      </c>
      <c r="J58" s="104">
        <f t="shared" si="16"/>
        <v>16.885</v>
      </c>
      <c r="K58" s="104">
        <v>1763.16</v>
      </c>
      <c r="L58" s="104">
        <f>F58-K58</f>
        <v>-1729.39</v>
      </c>
      <c r="M58" s="109">
        <f t="shared" si="17"/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 t="shared" si="14"/>
        <v>-6.189999999999998</v>
      </c>
      <c r="Q58" s="119">
        <f t="shared" si="11"/>
        <v>58.73333333333335</v>
      </c>
      <c r="R58" s="37"/>
      <c r="S58" s="37">
        <f t="shared" si="15"/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E59-березень!E59</f>
        <v>0</v>
      </c>
      <c r="O59" s="168">
        <f>F59-березень!F59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 t="shared" si="12"/>
        <v>-123.78800000000001</v>
      </c>
      <c r="H60" s="164">
        <f t="shared" si="10"/>
        <v>96.61781420765027</v>
      </c>
      <c r="I60" s="165">
        <f t="shared" si="13"/>
        <v>-3813.788</v>
      </c>
      <c r="J60" s="165">
        <f t="shared" si="16"/>
        <v>48.11172789115646</v>
      </c>
      <c r="K60" s="165">
        <v>1974.46</v>
      </c>
      <c r="L60" s="165">
        <f aca="true" t="shared" si="18" ref="L60:L66">F60-K60</f>
        <v>1561.752</v>
      </c>
      <c r="M60" s="218">
        <f t="shared" si="17"/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 t="shared" si="14"/>
        <v>-139.51800000000003</v>
      </c>
      <c r="Q60" s="165">
        <f t="shared" si="11"/>
        <v>76.747</v>
      </c>
      <c r="R60" s="37">
        <v>450</v>
      </c>
      <c r="S60" s="37">
        <f t="shared" si="15"/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E61-березень!E61</f>
        <v>0</v>
      </c>
      <c r="O61" s="168">
        <f>F61-лютий!F58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 t="shared" si="18"/>
        <v>252.59000000000003</v>
      </c>
      <c r="M62" s="218">
        <f t="shared" si="17"/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 t="shared" si="15"/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 t="shared" si="12"/>
        <v>44.642</v>
      </c>
      <c r="H64" s="164">
        <f t="shared" si="10"/>
        <v>546.42</v>
      </c>
      <c r="I64" s="165">
        <f t="shared" si="13"/>
        <v>-105.358</v>
      </c>
      <c r="J64" s="165">
        <f t="shared" si="16"/>
        <v>34.15125</v>
      </c>
      <c r="K64" s="165">
        <v>33.09</v>
      </c>
      <c r="L64" s="165">
        <f t="shared" si="18"/>
        <v>21.552</v>
      </c>
      <c r="M64" s="218">
        <f t="shared" si="17"/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 t="shared" si="14"/>
        <v>21.752000000000002</v>
      </c>
      <c r="Q64" s="165"/>
      <c r="R64" s="37">
        <v>0</v>
      </c>
      <c r="S64" s="37">
        <f t="shared" si="15"/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 t="shared" si="12"/>
        <v>11.752</v>
      </c>
      <c r="H65" s="164">
        <f t="shared" si="10"/>
        <v>330.43137254901967</v>
      </c>
      <c r="I65" s="165">
        <f t="shared" si="13"/>
        <v>1.8520000000000003</v>
      </c>
      <c r="J65" s="165">
        <f t="shared" si="16"/>
        <v>112.34666666666666</v>
      </c>
      <c r="K65" s="165">
        <v>13.52</v>
      </c>
      <c r="L65" s="165">
        <f t="shared" si="18"/>
        <v>3.3320000000000007</v>
      </c>
      <c r="M65" s="218">
        <f t="shared" si="17"/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 t="shared" si="14"/>
        <v>1.1820000000000013</v>
      </c>
      <c r="Q65" s="165">
        <f t="shared" si="11"/>
        <v>184.42857142857153</v>
      </c>
      <c r="R65" s="37">
        <v>3.2</v>
      </c>
      <c r="S65" s="37">
        <f t="shared" si="15"/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0.37</v>
      </c>
      <c r="L66" s="165">
        <f t="shared" si="18"/>
        <v>-5.62</v>
      </c>
      <c r="M66" s="218">
        <f t="shared" si="17"/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 t="shared" si="14"/>
        <v>0.08000000000000007</v>
      </c>
      <c r="Q66" s="165"/>
      <c r="R66" s="37">
        <v>0</v>
      </c>
      <c r="S66" s="37">
        <f t="shared" si="15"/>
        <v>0.08000000000000007</v>
      </c>
      <c r="T66" s="37"/>
      <c r="U66" s="94"/>
    </row>
    <row r="67" spans="1:21" s="6" customFormat="1" ht="18">
      <c r="A67" s="9"/>
      <c r="B67" s="14" t="s">
        <v>192</v>
      </c>
      <c r="C67" s="62"/>
      <c r="D67" s="151">
        <f>D8+D41+D65+D66</f>
        <v>1357491.1</v>
      </c>
      <c r="E67" s="151">
        <f>E8+E41+E65+E66</f>
        <v>417417.1</v>
      </c>
      <c r="F67" s="292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5">
        <f>O67-R67</f>
        <v>1707.9540000000125</v>
      </c>
      <c r="T67" s="285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6">F75-K75</f>
        <v>35.57</v>
      </c>
      <c r="M75" s="187"/>
      <c r="N75" s="186">
        <f>E75-березень!E75</f>
        <v>0</v>
      </c>
      <c r="O75" s="294">
        <f>F75-березень!F75</f>
        <v>0</v>
      </c>
      <c r="P75" s="187">
        <f aca="true" t="shared" si="22" ref="P75:P89">O75-N75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 t="shared" si="19"/>
        <v>0.12</v>
      </c>
      <c r="H76" s="164"/>
      <c r="I76" s="167">
        <f t="shared" si="20"/>
        <v>-104205.91</v>
      </c>
      <c r="J76" s="167">
        <f>F76/D76*100</f>
        <v>0.00011515648374666994</v>
      </c>
      <c r="K76" s="167">
        <v>300.88</v>
      </c>
      <c r="L76" s="167">
        <f t="shared" si="21"/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 t="shared" si="22"/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 t="shared" si="19"/>
        <v>-8127.08</v>
      </c>
      <c r="H77" s="164">
        <f>F77/E77*100</f>
        <v>3.5933570581257417</v>
      </c>
      <c r="I77" s="167">
        <f t="shared" si="20"/>
        <v>-53697.08</v>
      </c>
      <c r="J77" s="167">
        <f>F77/D77*100</f>
        <v>0.560962962962963</v>
      </c>
      <c r="K77" s="167">
        <v>472.26</v>
      </c>
      <c r="L77" s="167">
        <f t="shared" si="21"/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 t="shared" si="22"/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 t="shared" si="19"/>
        <v>-6678.55</v>
      </c>
      <c r="H78" s="164">
        <f>F78/E78*100</f>
        <v>21.428823529411765</v>
      </c>
      <c r="I78" s="167">
        <f t="shared" si="20"/>
        <v>-77178.55</v>
      </c>
      <c r="J78" s="167">
        <f>F78/D78*100</f>
        <v>2.3056329113924052</v>
      </c>
      <c r="K78" s="167">
        <v>8810.08</v>
      </c>
      <c r="L78" s="167">
        <f t="shared" si="21"/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 t="shared" si="22"/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 t="shared" si="19"/>
        <v>1</v>
      </c>
      <c r="H79" s="164">
        <f>F79/E79*100</f>
        <v>125</v>
      </c>
      <c r="I79" s="167">
        <f t="shared" si="20"/>
        <v>-7</v>
      </c>
      <c r="J79" s="167">
        <f>F79/D79*100</f>
        <v>41.66666666666667</v>
      </c>
      <c r="K79" s="167">
        <v>4</v>
      </c>
      <c r="L79" s="167">
        <f t="shared" si="21"/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 t="shared" si="22"/>
        <v>1</v>
      </c>
      <c r="Q79" s="167">
        <f>O79/N79*100</f>
        <v>200</v>
      </c>
      <c r="R79" s="38"/>
      <c r="S79" s="286"/>
      <c r="T79" s="286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 t="shared" si="19"/>
        <v>-14804.51</v>
      </c>
      <c r="H80" s="186">
        <f>F80/E80*100</f>
        <v>12.57523325853313</v>
      </c>
      <c r="I80" s="187">
        <f t="shared" si="20"/>
        <v>-235088.54</v>
      </c>
      <c r="J80" s="187">
        <f>F80/D80*100</f>
        <v>0.8976931475233988</v>
      </c>
      <c r="K80" s="187">
        <v>9587.22</v>
      </c>
      <c r="L80" s="187">
        <f t="shared" si="21"/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 t="shared" si="22"/>
        <v>-6706.0599999999995</v>
      </c>
      <c r="Q80" s="187">
        <f>O80/N80*100</f>
        <v>9.997852637229903</v>
      </c>
      <c r="R80" s="39"/>
      <c r="S80" s="287"/>
      <c r="T80" s="287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 t="shared" si="19"/>
        <v>6.75</v>
      </c>
      <c r="H81" s="164"/>
      <c r="I81" s="167">
        <f t="shared" si="20"/>
        <v>-30.75</v>
      </c>
      <c r="J81" s="167"/>
      <c r="K81" s="167">
        <v>3.06</v>
      </c>
      <c r="L81" s="167">
        <f t="shared" si="21"/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 t="shared" si="22"/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 t="shared" si="22"/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 t="shared" si="19"/>
        <v>-133.65999999999985</v>
      </c>
      <c r="H83" s="164">
        <f>F83/E83*100</f>
        <v>94.3488922712667</v>
      </c>
      <c r="I83" s="167">
        <f t="shared" si="20"/>
        <v>-6128.46</v>
      </c>
      <c r="J83" s="167">
        <f>F83/D83*100</f>
        <v>26.693062200956934</v>
      </c>
      <c r="K83" s="167">
        <v>2035.53</v>
      </c>
      <c r="L83" s="167">
        <f t="shared" si="21"/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9"/>
        <v>0.03</v>
      </c>
      <c r="H84" s="164"/>
      <c r="I84" s="167">
        <f t="shared" si="20"/>
        <v>0.03</v>
      </c>
      <c r="J84" s="167"/>
      <c r="K84" s="167">
        <v>0.52</v>
      </c>
      <c r="L84" s="167">
        <f t="shared" si="21"/>
        <v>-0.49</v>
      </c>
      <c r="M84" s="209">
        <f aca="true" t="shared" si="23" ref="M84:M89">F84/K84</f>
        <v>0.05769230769230769</v>
      </c>
      <c r="N84" s="164">
        <f>E84-березень!E84</f>
        <v>0</v>
      </c>
      <c r="O84" s="168">
        <f>F84-березень!F84</f>
        <v>0</v>
      </c>
      <c r="P84" s="167">
        <f t="shared" si="22"/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 t="shared" si="20"/>
        <v>-6159.18</v>
      </c>
      <c r="J85" s="187">
        <f>F85/D85*100</f>
        <v>26.676428571428573</v>
      </c>
      <c r="K85" s="187">
        <v>2039.11</v>
      </c>
      <c r="L85" s="187">
        <f t="shared" si="21"/>
        <v>201.71000000000026</v>
      </c>
      <c r="M85" s="220">
        <f t="shared" si="23"/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 t="shared" si="19"/>
        <v>-6.5</v>
      </c>
      <c r="H86" s="164">
        <f>F86/E86*100</f>
        <v>53.90070921985816</v>
      </c>
      <c r="I86" s="167">
        <f t="shared" si="20"/>
        <v>-30.4</v>
      </c>
      <c r="J86" s="167">
        <f>F86/D86*100</f>
        <v>20</v>
      </c>
      <c r="K86" s="167">
        <v>9.19</v>
      </c>
      <c r="L86" s="167">
        <f t="shared" si="21"/>
        <v>-1.5899999999999999</v>
      </c>
      <c r="M86" s="209">
        <f t="shared" si="23"/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 t="shared" si="22"/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 t="shared" si="22"/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 t="shared" si="23"/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 t="shared" si="22"/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190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 t="shared" si="23"/>
        <v>1.3150890221823077</v>
      </c>
      <c r="N89" s="192">
        <f>N67+N88</f>
        <v>118023.3</v>
      </c>
      <c r="O89" s="192">
        <f>O67+O88</f>
        <v>113092.23400000001</v>
      </c>
      <c r="P89" s="194">
        <f t="shared" si="22"/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4"/>
      <c r="H92" s="314"/>
      <c r="I92" s="314"/>
      <c r="J92" s="31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03"/>
      <c r="P93" s="303"/>
    </row>
    <row r="94" spans="3:16" ht="15">
      <c r="C94" s="81">
        <v>42852</v>
      </c>
      <c r="D94" s="29">
        <v>13266.8</v>
      </c>
      <c r="F94" s="113" t="s">
        <v>58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42851</v>
      </c>
      <c r="D95" s="29">
        <v>6064.2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102.57358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 hidden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90" t="s">
        <v>203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 aca="true" t="shared" si="24" ref="K103:P103">K43+K44+K46+K48+K50+K51+K52+K53+K54+K60+K64+K47</f>
        <v>16662.34</v>
      </c>
      <c r="L103" s="29">
        <f t="shared" si="24"/>
        <v>2952.3460000000014</v>
      </c>
      <c r="M103" s="29">
        <f t="shared" si="24"/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 t="shared" si="24"/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5" ref="E104:P104">SUM(E102:E103)</f>
        <v>417417.1</v>
      </c>
      <c r="F104" s="229">
        <f t="shared" si="25"/>
        <v>419761.754</v>
      </c>
      <c r="G104" s="29">
        <f t="shared" si="25"/>
        <v>2349.9040000000523</v>
      </c>
      <c r="H104" s="230">
        <f>F104/E104</f>
        <v>1.005617053062752</v>
      </c>
      <c r="I104" s="29">
        <f t="shared" si="25"/>
        <v>-937724.0960000001</v>
      </c>
      <c r="J104" s="230">
        <f>F104/D104</f>
        <v>0.3092187889850622</v>
      </c>
      <c r="K104" s="29">
        <f t="shared" si="25"/>
        <v>16662.34</v>
      </c>
      <c r="L104" s="29">
        <f t="shared" si="25"/>
        <v>2952.3460000000014</v>
      </c>
      <c r="M104" s="29">
        <f t="shared" si="25"/>
        <v>20.42521813055033</v>
      </c>
      <c r="N104" s="29">
        <f t="shared" si="25"/>
        <v>110560.2</v>
      </c>
      <c r="O104" s="229">
        <f t="shared" si="25"/>
        <v>112332.75400000002</v>
      </c>
      <c r="P104" s="29">
        <f t="shared" si="25"/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 aca="true" t="shared" si="26" ref="E105:U105">E67-E104</f>
        <v>0</v>
      </c>
      <c r="F105" s="29">
        <f t="shared" si="26"/>
        <v>0</v>
      </c>
      <c r="G105" s="29">
        <f t="shared" si="26"/>
        <v>-5.250000000013642</v>
      </c>
      <c r="H105" s="230"/>
      <c r="I105" s="29">
        <f t="shared" si="26"/>
        <v>-5.25</v>
      </c>
      <c r="J105" s="230"/>
      <c r="K105" s="29">
        <f t="shared" si="26"/>
        <v>294242.8</v>
      </c>
      <c r="L105" s="29">
        <f t="shared" si="26"/>
        <v>105904.268</v>
      </c>
      <c r="M105" s="29">
        <f t="shared" si="26"/>
        <v>-19.075090068981453</v>
      </c>
      <c r="N105" s="29">
        <f t="shared" si="26"/>
        <v>0</v>
      </c>
      <c r="O105" s="29">
        <f t="shared" si="26"/>
        <v>0</v>
      </c>
      <c r="P105" s="29">
        <f t="shared" si="26"/>
        <v>0.07999999999447027</v>
      </c>
      <c r="Q105" s="29"/>
      <c r="R105" s="29">
        <f t="shared" si="26"/>
        <v>110624.8</v>
      </c>
      <c r="S105" s="29"/>
      <c r="T105" s="29"/>
      <c r="U105" s="29">
        <f t="shared" si="26"/>
        <v>3.230923665439485</v>
      </c>
    </row>
    <row r="106" ht="15" hidden="1">
      <c r="E106" s="4" t="s">
        <v>58</v>
      </c>
    </row>
    <row r="107" spans="2:5" ht="15" hidden="1">
      <c r="B107" s="250" t="s">
        <v>173</v>
      </c>
      <c r="E107" s="29">
        <f>E67-E9-E20-E29-E35</f>
        <v>43161.39999999998</v>
      </c>
    </row>
    <row r="108" spans="2:5" ht="15" hidden="1">
      <c r="B108" s="250" t="s">
        <v>174</v>
      </c>
      <c r="E108" s="29">
        <f>E88-E83-E76-E77</f>
        <v>8520.599999999999</v>
      </c>
    </row>
    <row r="109" ht="15" hidden="1"/>
    <row r="110" spans="2:21" ht="18" hidden="1">
      <c r="B110" s="122" t="s">
        <v>165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73"/>
      <c r="N110" s="271"/>
      <c r="O110" s="271"/>
      <c r="P110" s="272"/>
      <c r="Q110" s="272"/>
      <c r="R110" s="275"/>
      <c r="S110" s="275"/>
      <c r="T110" s="275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74">
        <f>F111/K111</f>
        <v>8.11475819689658</v>
      </c>
      <c r="N111" s="277"/>
      <c r="O111" s="277"/>
      <c r="P111" s="278"/>
      <c r="Q111" s="278"/>
      <c r="R111" s="276">
        <f>O111-8104.96</f>
        <v>-8104.96</v>
      </c>
      <c r="S111" s="276"/>
      <c r="T111" s="276"/>
      <c r="U111" s="95">
        <f>O111/8104.96</f>
        <v>0</v>
      </c>
    </row>
    <row r="112" spans="2:21" ht="17.25" hidden="1">
      <c r="B112" s="21" t="s">
        <v>189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74">
        <f>F112/K112</f>
        <v>1.3650195543550625</v>
      </c>
      <c r="N112" s="279"/>
      <c r="O112" s="279"/>
      <c r="P112" s="278"/>
      <c r="Q112" s="278"/>
      <c r="R112" s="276">
        <f>O112-42872.96</f>
        <v>-42872.96</v>
      </c>
      <c r="S112" s="276"/>
      <c r="T112" s="276"/>
      <c r="U112" s="95">
        <f>O112/42872.96</f>
        <v>0</v>
      </c>
    </row>
    <row r="113" spans="2:21" ht="15" hidden="1">
      <c r="B113" s="241" t="s">
        <v>191</v>
      </c>
      <c r="C113" s="239">
        <v>40000000</v>
      </c>
      <c r="D113" s="248">
        <f aca="true" t="shared" si="27" ref="D113:F114">D114</f>
        <v>1222868.6900000002</v>
      </c>
      <c r="E113" s="248">
        <f t="shared" si="27"/>
        <v>550655.6</v>
      </c>
      <c r="F113" s="248">
        <f t="shared" si="27"/>
        <v>545829.08</v>
      </c>
      <c r="G113" s="248">
        <f aca="true" t="shared" si="28" ref="G113:G124">F113-E113</f>
        <v>-4826.520000000019</v>
      </c>
      <c r="H113" s="248">
        <f>F113/E113*100</f>
        <v>99.12349570221387</v>
      </c>
      <c r="I113" s="36">
        <f aca="true" t="shared" si="29" ref="I113:I124">F113-D113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156</v>
      </c>
      <c r="C114" s="239">
        <v>41000000</v>
      </c>
      <c r="D114" s="248">
        <f t="shared" si="27"/>
        <v>1222868.6900000002</v>
      </c>
      <c r="E114" s="248">
        <f t="shared" si="27"/>
        <v>550655.6</v>
      </c>
      <c r="F114" s="248">
        <f t="shared" si="27"/>
        <v>545829.08</v>
      </c>
      <c r="G114" s="248">
        <f t="shared" si="28"/>
        <v>-4826.520000000019</v>
      </c>
      <c r="H114" s="248">
        <f aca="true" t="shared" si="30" ref="H114:H124">IF(E114=0,0,F114/E114*100)</f>
        <v>99.12349570221387</v>
      </c>
      <c r="I114" s="36">
        <f t="shared" si="29"/>
        <v>-677039.6100000002</v>
      </c>
      <c r="J114" s="36">
        <f aca="true" t="shared" si="31" ref="J114:J124">F114/D114*100</f>
        <v>44.63513412875097</v>
      </c>
      <c r="Q114" s="89"/>
      <c r="U114" s="4"/>
    </row>
    <row r="115" spans="2:21" ht="15" hidden="1">
      <c r="B115" s="240" t="s">
        <v>157</v>
      </c>
      <c r="C115" s="239">
        <v>41030000</v>
      </c>
      <c r="D115" s="248">
        <f>SUM(D116:D123)</f>
        <v>1222868.6900000002</v>
      </c>
      <c r="E115" s="248">
        <f>SUM(E116:E123)</f>
        <v>550655.6</v>
      </c>
      <c r="F115" s="248">
        <f>SUM(F116:F123)</f>
        <v>545829.08</v>
      </c>
      <c r="G115" s="248">
        <f t="shared" si="28"/>
        <v>-4826.520000000019</v>
      </c>
      <c r="H115" s="248">
        <f t="shared" si="30"/>
        <v>99.12349570221387</v>
      </c>
      <c r="I115" s="36">
        <f t="shared" si="29"/>
        <v>-677039.6100000002</v>
      </c>
      <c r="J115" s="36">
        <f t="shared" si="31"/>
        <v>44.63513412875097</v>
      </c>
      <c r="Q115" s="89"/>
      <c r="U115" s="4"/>
    </row>
    <row r="116" spans="2:21" ht="63.75" hidden="1">
      <c r="B116" s="240" t="s">
        <v>185</v>
      </c>
      <c r="C116" s="239">
        <v>41030600</v>
      </c>
      <c r="D116" s="248">
        <v>311813.4</v>
      </c>
      <c r="E116" s="248">
        <v>74842.5</v>
      </c>
      <c r="F116" s="248">
        <v>71108.47</v>
      </c>
      <c r="G116" s="248">
        <f t="shared" si="28"/>
        <v>-3734.029999999999</v>
      </c>
      <c r="H116" s="248">
        <f t="shared" si="30"/>
        <v>95.0108160470321</v>
      </c>
      <c r="I116" s="36">
        <f t="shared" si="29"/>
        <v>-240704.93000000002</v>
      </c>
      <c r="J116" s="36">
        <f t="shared" si="31"/>
        <v>22.80481531582671</v>
      </c>
      <c r="Q116" s="89"/>
      <c r="U116" s="4"/>
    </row>
    <row r="117" spans="2:21" ht="63.75" hidden="1">
      <c r="B117" s="240" t="s">
        <v>167</v>
      </c>
      <c r="C117" s="239">
        <v>41030800</v>
      </c>
      <c r="D117" s="248">
        <v>408648.2</v>
      </c>
      <c r="E117" s="248">
        <v>354918.91</v>
      </c>
      <c r="F117" s="248">
        <v>354211.24</v>
      </c>
      <c r="G117" s="248">
        <f t="shared" si="28"/>
        <v>-707.6699999999837</v>
      </c>
      <c r="H117" s="248">
        <f t="shared" si="30"/>
        <v>99.80061079304002</v>
      </c>
      <c r="I117" s="36">
        <f t="shared" si="29"/>
        <v>-54436.96000000002</v>
      </c>
      <c r="J117" s="36">
        <f t="shared" si="31"/>
        <v>86.67877161822808</v>
      </c>
      <c r="Q117" s="89"/>
      <c r="U117" s="4"/>
    </row>
    <row r="118" spans="2:21" ht="51.75" hidden="1">
      <c r="B118" s="240" t="s">
        <v>186</v>
      </c>
      <c r="C118" s="239">
        <v>41031000</v>
      </c>
      <c r="D118" s="248">
        <v>227.7</v>
      </c>
      <c r="E118" s="248">
        <v>57</v>
      </c>
      <c r="F118" s="248">
        <v>40.84</v>
      </c>
      <c r="G118" s="248">
        <f t="shared" si="28"/>
        <v>-16.159999999999997</v>
      </c>
      <c r="H118" s="248">
        <f t="shared" si="30"/>
        <v>71.64912280701755</v>
      </c>
      <c r="I118" s="36">
        <f t="shared" si="29"/>
        <v>-186.85999999999999</v>
      </c>
      <c r="J118" s="36">
        <f t="shared" si="31"/>
        <v>17.9358805445762</v>
      </c>
      <c r="Q118" s="89"/>
      <c r="U118" s="4"/>
    </row>
    <row r="119" spans="2:21" ht="26.25" hidden="1">
      <c r="B119" s="240" t="s">
        <v>168</v>
      </c>
      <c r="C119" s="239">
        <v>41033900</v>
      </c>
      <c r="D119" s="248">
        <v>243334.5</v>
      </c>
      <c r="E119" s="248">
        <v>56191.6</v>
      </c>
      <c r="F119" s="248">
        <v>56191.6</v>
      </c>
      <c r="G119" s="248">
        <f t="shared" si="28"/>
        <v>0</v>
      </c>
      <c r="H119" s="248">
        <f t="shared" si="30"/>
        <v>100</v>
      </c>
      <c r="I119" s="36">
        <f t="shared" si="29"/>
        <v>-187142.9</v>
      </c>
      <c r="J119" s="36">
        <f t="shared" si="31"/>
        <v>23.092327639525013</v>
      </c>
      <c r="Q119" s="89"/>
      <c r="U119" s="4"/>
    </row>
    <row r="120" spans="2:21" ht="26.25" hidden="1">
      <c r="B120" s="240" t="s">
        <v>169</v>
      </c>
      <c r="C120" s="239">
        <v>41034200</v>
      </c>
      <c r="D120" s="248">
        <v>238249.5</v>
      </c>
      <c r="E120" s="248">
        <v>59541.9</v>
      </c>
      <c r="F120" s="248">
        <v>59541.9</v>
      </c>
      <c r="G120" s="248">
        <f t="shared" si="28"/>
        <v>0</v>
      </c>
      <c r="H120" s="248">
        <f t="shared" si="30"/>
        <v>100</v>
      </c>
      <c r="I120" s="36">
        <f t="shared" si="29"/>
        <v>-178707.6</v>
      </c>
      <c r="J120" s="36">
        <f t="shared" si="31"/>
        <v>24.991406068008537</v>
      </c>
      <c r="Q120" s="89"/>
      <c r="U120" s="4"/>
    </row>
    <row r="121" spans="2:21" ht="15" hidden="1">
      <c r="B121" s="240" t="s">
        <v>163</v>
      </c>
      <c r="C121" s="239">
        <v>41035000</v>
      </c>
      <c r="D121" s="248">
        <v>16239.09</v>
      </c>
      <c r="E121" s="248">
        <v>4193.79</v>
      </c>
      <c r="F121" s="248">
        <v>3733.65</v>
      </c>
      <c r="G121" s="248">
        <f t="shared" si="28"/>
        <v>-460.1399999999999</v>
      </c>
      <c r="H121" s="248">
        <f t="shared" si="30"/>
        <v>89.02806292160552</v>
      </c>
      <c r="I121" s="36">
        <f t="shared" si="29"/>
        <v>-12505.44</v>
      </c>
      <c r="J121" s="36">
        <f t="shared" si="31"/>
        <v>22.99174399550714</v>
      </c>
      <c r="Q121" s="89"/>
      <c r="U121" s="4"/>
    </row>
    <row r="122" spans="2:21" ht="39" hidden="1">
      <c r="B122" s="240" t="s">
        <v>188</v>
      </c>
      <c r="C122" s="239">
        <v>41035400</v>
      </c>
      <c r="D122" s="248">
        <v>0</v>
      </c>
      <c r="E122" s="248">
        <v>0</v>
      </c>
      <c r="F122" s="248">
        <v>165.7</v>
      </c>
      <c r="G122" s="248">
        <f t="shared" si="28"/>
        <v>165.7</v>
      </c>
      <c r="H122" s="248">
        <f t="shared" si="30"/>
        <v>0</v>
      </c>
      <c r="I122" s="36">
        <f t="shared" si="29"/>
        <v>165.7</v>
      </c>
      <c r="J122" s="36" t="e">
        <f t="shared" si="31"/>
        <v>#DIV/0!</v>
      </c>
      <c r="Q122" s="89"/>
      <c r="U122" s="4"/>
    </row>
    <row r="123" spans="2:21" ht="63.75" hidden="1">
      <c r="B123" s="240" t="s">
        <v>187</v>
      </c>
      <c r="C123" s="239">
        <v>41035800</v>
      </c>
      <c r="D123" s="248">
        <v>4356.3</v>
      </c>
      <c r="E123" s="248">
        <v>909.9</v>
      </c>
      <c r="F123" s="248">
        <v>835.68</v>
      </c>
      <c r="G123" s="248">
        <f t="shared" si="28"/>
        <v>-74.22000000000003</v>
      </c>
      <c r="H123" s="248">
        <f t="shared" si="30"/>
        <v>91.84305967688756</v>
      </c>
      <c r="I123" s="36">
        <f t="shared" si="29"/>
        <v>-3520.6200000000003</v>
      </c>
      <c r="J123" s="36">
        <f t="shared" si="31"/>
        <v>19.183251842159628</v>
      </c>
      <c r="Q123" s="89"/>
      <c r="U123" s="4"/>
    </row>
    <row r="124" spans="2:17" s="242" customFormat="1" ht="25.5" customHeight="1" hidden="1">
      <c r="B124" s="280" t="s">
        <v>166</v>
      </c>
      <c r="C124" s="281"/>
      <c r="D124" s="282">
        <f>D112+D113</f>
        <v>2898424.04</v>
      </c>
      <c r="E124" s="282">
        <f>E112+E113</f>
        <v>1005490.5599999999</v>
      </c>
      <c r="F124" s="282">
        <f>F112+F113</f>
        <v>990258.644</v>
      </c>
      <c r="G124" s="283">
        <f t="shared" si="28"/>
        <v>-15231.915999999968</v>
      </c>
      <c r="H124" s="282">
        <f t="shared" si="30"/>
        <v>98.48512590709952</v>
      </c>
      <c r="I124" s="284">
        <f t="shared" si="29"/>
        <v>-1908165.3960000002</v>
      </c>
      <c r="J124" s="284">
        <f t="shared" si="31"/>
        <v>34.16541645852482</v>
      </c>
      <c r="Q124" s="244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92" sqref="F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5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21" t="s">
        <v>193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86"/>
      <c r="S1" s="87"/>
      <c r="T1" s="251"/>
      <c r="U1" s="254"/>
      <c r="V1" s="264"/>
      <c r="W1" s="264"/>
    </row>
    <row r="2" spans="2:23" s="1" customFormat="1" ht="15.75" customHeight="1">
      <c r="B2" s="322"/>
      <c r="C2" s="322"/>
      <c r="D2" s="322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51"/>
      <c r="U2" s="254"/>
      <c r="V2" s="264"/>
      <c r="W2" s="264"/>
    </row>
    <row r="3" spans="1:23" s="3" customFormat="1" ht="13.5" customHeight="1">
      <c r="A3" s="323"/>
      <c r="B3" s="325"/>
      <c r="C3" s="326" t="s">
        <v>0</v>
      </c>
      <c r="D3" s="327" t="s">
        <v>151</v>
      </c>
      <c r="E3" s="32"/>
      <c r="F3" s="328" t="s">
        <v>26</v>
      </c>
      <c r="G3" s="329"/>
      <c r="H3" s="329"/>
      <c r="I3" s="329"/>
      <c r="J3" s="330"/>
      <c r="K3" s="83"/>
      <c r="L3" s="83"/>
      <c r="M3" s="83"/>
      <c r="N3" s="331" t="s">
        <v>171</v>
      </c>
      <c r="O3" s="332" t="s">
        <v>172</v>
      </c>
      <c r="P3" s="332"/>
      <c r="Q3" s="332"/>
      <c r="R3" s="332"/>
      <c r="S3" s="332"/>
      <c r="T3" s="113" t="s">
        <v>182</v>
      </c>
      <c r="U3" s="113" t="s">
        <v>182</v>
      </c>
      <c r="V3" s="265" t="s">
        <v>182</v>
      </c>
      <c r="W3" s="265" t="s">
        <v>182</v>
      </c>
    </row>
    <row r="4" spans="1:22" ht="22.5" customHeight="1">
      <c r="A4" s="323"/>
      <c r="B4" s="325"/>
      <c r="C4" s="326"/>
      <c r="D4" s="327"/>
      <c r="E4" s="333" t="s">
        <v>154</v>
      </c>
      <c r="F4" s="315" t="s">
        <v>33</v>
      </c>
      <c r="G4" s="305" t="s">
        <v>170</v>
      </c>
      <c r="H4" s="317" t="s">
        <v>184</v>
      </c>
      <c r="I4" s="305" t="s">
        <v>138</v>
      </c>
      <c r="J4" s="317" t="s">
        <v>139</v>
      </c>
      <c r="K4" s="85" t="s">
        <v>141</v>
      </c>
      <c r="L4" s="204" t="s">
        <v>113</v>
      </c>
      <c r="M4" s="90" t="s">
        <v>63</v>
      </c>
      <c r="N4" s="317"/>
      <c r="O4" s="319" t="s">
        <v>194</v>
      </c>
      <c r="P4" s="305" t="s">
        <v>49</v>
      </c>
      <c r="Q4" s="307" t="s">
        <v>48</v>
      </c>
      <c r="R4" s="91" t="s">
        <v>64</v>
      </c>
      <c r="S4" s="92" t="s">
        <v>63</v>
      </c>
      <c r="T4" s="29" t="s">
        <v>181</v>
      </c>
      <c r="U4" s="255" t="s">
        <v>181</v>
      </c>
      <c r="V4" s="78" t="s">
        <v>183</v>
      </c>
    </row>
    <row r="5" spans="1:23" ht="67.5" customHeight="1">
      <c r="A5" s="324"/>
      <c r="B5" s="325"/>
      <c r="C5" s="326"/>
      <c r="D5" s="327"/>
      <c r="E5" s="334"/>
      <c r="F5" s="316"/>
      <c r="G5" s="306"/>
      <c r="H5" s="318"/>
      <c r="I5" s="306"/>
      <c r="J5" s="318"/>
      <c r="K5" s="308" t="s">
        <v>177</v>
      </c>
      <c r="L5" s="309"/>
      <c r="M5" s="310"/>
      <c r="N5" s="318"/>
      <c r="O5" s="320"/>
      <c r="P5" s="306"/>
      <c r="Q5" s="307"/>
      <c r="R5" s="308" t="s">
        <v>102</v>
      </c>
      <c r="S5" s="310"/>
      <c r="T5" s="29" t="s">
        <v>175</v>
      </c>
      <c r="U5" s="255" t="s">
        <v>176</v>
      </c>
      <c r="V5" s="78" t="s">
        <v>175</v>
      </c>
      <c r="W5" s="266" t="s">
        <v>176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 aca="true" t="shared" si="0" ref="G8:G40">F8-E8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 aca="true" t="shared" si="1" ref="L8:L54">F8-K8</f>
        <v>83758.09999999995</v>
      </c>
      <c r="M8" s="205">
        <f aca="true" t="shared" si="2" ref="M8:M31">F8/K8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52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 t="shared" si="0"/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 t="shared" si="1"/>
        <v>49905.53999999998</v>
      </c>
      <c r="M9" s="206">
        <f t="shared" si="2"/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52">
        <f>O9-T9</f>
        <v>1525.4199999999837</v>
      </c>
      <c r="V9" s="132">
        <v>160661.9</v>
      </c>
      <c r="W9" s="270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 t="shared" si="0"/>
        <v>1803.3699999999953</v>
      </c>
      <c r="H10" s="30">
        <f aca="true" t="shared" si="3" ref="H10:H39">F10/E10*100</f>
        <v>101.23086846128643</v>
      </c>
      <c r="I10" s="104">
        <f aca="true" t="shared" si="4" ref="I10:I40">F10-D10</f>
        <v>-553001.63</v>
      </c>
      <c r="J10" s="104">
        <f aca="true" t="shared" si="5" ref="J10:J39">F10/D10*100</f>
        <v>21.14812132031592</v>
      </c>
      <c r="K10" s="106">
        <v>98464.38</v>
      </c>
      <c r="L10" s="106">
        <f t="shared" si="1"/>
        <v>49850.98999999999</v>
      </c>
      <c r="M10" s="207">
        <f t="shared" si="2"/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 aca="true" t="shared" si="6" ref="P10:P40">O10-N10</f>
        <v>1424.729999999996</v>
      </c>
      <c r="Q10" s="104">
        <f aca="true" t="shared" si="7" ref="Q10:Q27">O10/N10*100</f>
        <v>102.63040026585924</v>
      </c>
      <c r="R10" s="37"/>
      <c r="S10" s="94"/>
      <c r="T10" s="147"/>
      <c r="U10" s="252">
        <f aca="true" t="shared" si="8" ref="U10:U42">O10-T10</f>
        <v>55588.729999999996</v>
      </c>
      <c r="V10" s="132"/>
      <c r="W10" s="269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 t="shared" si="0"/>
        <v>-1695.5200000000004</v>
      </c>
      <c r="H11" s="30">
        <f t="shared" si="3"/>
        <v>84.30074074074074</v>
      </c>
      <c r="I11" s="104">
        <f t="shared" si="4"/>
        <v>-37401.520000000004</v>
      </c>
      <c r="J11" s="104">
        <f t="shared" si="5"/>
        <v>19.57700081709887</v>
      </c>
      <c r="K11" s="106">
        <v>8077.11</v>
      </c>
      <c r="L11" s="106">
        <f t="shared" si="1"/>
        <v>1027.37</v>
      </c>
      <c r="M11" s="207">
        <f t="shared" si="2"/>
        <v>1.1271952468147641</v>
      </c>
      <c r="N11" s="105">
        <f>E11-лютий!E11</f>
        <v>3600</v>
      </c>
      <c r="O11" s="144">
        <f>F11-лютий!F11</f>
        <v>3209.2199999999993</v>
      </c>
      <c r="P11" s="106">
        <f t="shared" si="6"/>
        <v>-390.78000000000065</v>
      </c>
      <c r="Q11" s="104">
        <f t="shared" si="7"/>
        <v>89.14499999999998</v>
      </c>
      <c r="R11" s="37"/>
      <c r="S11" s="94"/>
      <c r="T11" s="147"/>
      <c r="U11" s="252">
        <f t="shared" si="8"/>
        <v>3209.2199999999993</v>
      </c>
      <c r="V11" s="132"/>
      <c r="W11" s="269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 t="shared" si="0"/>
        <v>24.690000000000055</v>
      </c>
      <c r="H12" s="30">
        <f t="shared" si="3"/>
        <v>101.41896551724139</v>
      </c>
      <c r="I12" s="104">
        <f t="shared" si="4"/>
        <v>-6515.3099999999995</v>
      </c>
      <c r="J12" s="104">
        <f t="shared" si="5"/>
        <v>21.31268115942029</v>
      </c>
      <c r="K12" s="106">
        <v>2379.47</v>
      </c>
      <c r="L12" s="106">
        <f t="shared" si="1"/>
        <v>-614.7799999999997</v>
      </c>
      <c r="M12" s="207">
        <f t="shared" si="2"/>
        <v>0.7416315397966775</v>
      </c>
      <c r="N12" s="105">
        <f>E12-лютий!E12</f>
        <v>900</v>
      </c>
      <c r="O12" s="144">
        <f>F12-лютий!F12</f>
        <v>727.27</v>
      </c>
      <c r="P12" s="106">
        <f t="shared" si="6"/>
        <v>-172.73000000000002</v>
      </c>
      <c r="Q12" s="104">
        <f t="shared" si="7"/>
        <v>80.80777777777777</v>
      </c>
      <c r="R12" s="37"/>
      <c r="S12" s="94"/>
      <c r="T12" s="147"/>
      <c r="U12" s="252">
        <f t="shared" si="8"/>
        <v>727.27</v>
      </c>
      <c r="V12" s="132"/>
      <c r="W12" s="269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 t="shared" si="0"/>
        <v>109.15999999999985</v>
      </c>
      <c r="H13" s="30">
        <f t="shared" si="3"/>
        <v>104.33174603174602</v>
      </c>
      <c r="I13" s="104">
        <f t="shared" si="4"/>
        <v>-6760.84</v>
      </c>
      <c r="J13" s="104">
        <f t="shared" si="5"/>
        <v>27.999574014909477</v>
      </c>
      <c r="K13" s="106">
        <v>2424.94</v>
      </c>
      <c r="L13" s="106">
        <f t="shared" si="1"/>
        <v>204.2199999999998</v>
      </c>
      <c r="M13" s="207">
        <f t="shared" si="2"/>
        <v>1.0842165166973203</v>
      </c>
      <c r="N13" s="105">
        <f>E13-лютий!E13</f>
        <v>900</v>
      </c>
      <c r="O13" s="144">
        <f>F13-лютий!F13</f>
        <v>600.8399999999999</v>
      </c>
      <c r="P13" s="106">
        <f t="shared" si="6"/>
        <v>-299.1600000000001</v>
      </c>
      <c r="Q13" s="104">
        <f t="shared" si="7"/>
        <v>66.75999999999999</v>
      </c>
      <c r="R13" s="37"/>
      <c r="S13" s="94"/>
      <c r="T13" s="147"/>
      <c r="U13" s="252">
        <f t="shared" si="8"/>
        <v>600.8399999999999</v>
      </c>
      <c r="V13" s="132"/>
      <c r="W13" s="269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 t="shared" si="0"/>
        <v>85.67000000000002</v>
      </c>
      <c r="H14" s="30">
        <f t="shared" si="3"/>
        <v>129.74652777777777</v>
      </c>
      <c r="I14" s="104">
        <f t="shared" si="4"/>
        <v>-778.3299999999999</v>
      </c>
      <c r="J14" s="104">
        <f t="shared" si="5"/>
        <v>32.43663194444444</v>
      </c>
      <c r="K14" s="106">
        <v>935.92</v>
      </c>
      <c r="L14" s="106">
        <f t="shared" si="1"/>
        <v>-562.25</v>
      </c>
      <c r="M14" s="207">
        <f t="shared" si="2"/>
        <v>0.3992542097615181</v>
      </c>
      <c r="N14" s="105">
        <f>E14-лютий!E14</f>
        <v>96</v>
      </c>
      <c r="O14" s="144">
        <f>F14-лютий!F14</f>
        <v>175.36</v>
      </c>
      <c r="P14" s="106">
        <f t="shared" si="6"/>
        <v>79.36000000000001</v>
      </c>
      <c r="Q14" s="104">
        <f t="shared" si="7"/>
        <v>182.66666666666669</v>
      </c>
      <c r="R14" s="37"/>
      <c r="S14" s="94"/>
      <c r="T14" s="252"/>
      <c r="U14" s="252">
        <f t="shared" si="8"/>
        <v>175.36</v>
      </c>
      <c r="V14" s="132"/>
      <c r="W14" s="269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 t="shared" si="0"/>
        <v>-537.4200000000001</v>
      </c>
      <c r="H15" s="157">
        <f>F15/E15*100</f>
        <v>-214.28070175438597</v>
      </c>
      <c r="I15" s="158">
        <f t="shared" si="4"/>
        <v>-917.4200000000001</v>
      </c>
      <c r="J15" s="158">
        <f t="shared" si="5"/>
        <v>-66.50090744101634</v>
      </c>
      <c r="K15" s="161">
        <v>185.06</v>
      </c>
      <c r="L15" s="161">
        <f t="shared" si="1"/>
        <v>-551.48</v>
      </c>
      <c r="M15" s="208">
        <f t="shared" si="2"/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 t="shared" si="6"/>
        <v>-500.33000000000004</v>
      </c>
      <c r="Q15" s="158">
        <f t="shared" si="7"/>
        <v>-316.9416666666667</v>
      </c>
      <c r="R15" s="37"/>
      <c r="S15" s="94"/>
      <c r="T15" s="147">
        <v>-377.2</v>
      </c>
      <c r="U15" s="252">
        <f t="shared" si="8"/>
        <v>-3.1300000000000523</v>
      </c>
      <c r="V15" s="132"/>
      <c r="W15" s="269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E16-лютий!E16</f>
        <v>0</v>
      </c>
      <c r="O16" s="168">
        <f>F16-лютий!F16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/>
      <c r="U16" s="252">
        <f t="shared" si="8"/>
        <v>0</v>
      </c>
      <c r="V16" s="132"/>
      <c r="W16" s="269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E17-лютий!E17</f>
        <v>0</v>
      </c>
      <c r="O17" s="168">
        <f>F17-лютий!F17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/>
      <c r="U17" s="252">
        <f t="shared" si="8"/>
        <v>0</v>
      </c>
      <c r="V17" s="132"/>
      <c r="W17" s="269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E18-лютий!E18</f>
        <v>0</v>
      </c>
      <c r="O18" s="168">
        <f>F18-лютий!F18</f>
        <v>0</v>
      </c>
      <c r="P18" s="161">
        <f t="shared" si="6"/>
        <v>0</v>
      </c>
      <c r="Q18" s="158"/>
      <c r="R18" s="37"/>
      <c r="S18" s="94"/>
      <c r="T18" s="147"/>
      <c r="U18" s="252"/>
      <c r="V18" s="132"/>
      <c r="W18" s="269"/>
    </row>
    <row r="19" spans="1:23" s="6" customFormat="1" ht="18">
      <c r="A19" s="8"/>
      <c r="B19" s="13" t="s">
        <v>180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 t="shared" si="0"/>
        <v>-166.13999999999942</v>
      </c>
      <c r="H19" s="164">
        <f t="shared" si="3"/>
        <v>99.40237410071943</v>
      </c>
      <c r="I19" s="165">
        <f t="shared" si="4"/>
        <v>-102366.14</v>
      </c>
      <c r="J19" s="165">
        <f t="shared" si="5"/>
        <v>21.256815384615386</v>
      </c>
      <c r="K19" s="161">
        <v>18270.9</v>
      </c>
      <c r="L19" s="167">
        <f t="shared" si="1"/>
        <v>9362.96</v>
      </c>
      <c r="M19" s="213">
        <f t="shared" si="2"/>
        <v>1.5124520412240228</v>
      </c>
      <c r="N19" s="164">
        <f>N20+N21+N22</f>
        <v>9800</v>
      </c>
      <c r="O19" s="168">
        <f>O20+O21+O22</f>
        <v>13927.95</v>
      </c>
      <c r="P19" s="167">
        <f t="shared" si="6"/>
        <v>4127.950000000001</v>
      </c>
      <c r="Q19" s="165">
        <f t="shared" si="7"/>
        <v>142.12193877551022</v>
      </c>
      <c r="R19" s="37"/>
      <c r="S19" s="94"/>
      <c r="T19" s="147"/>
      <c r="U19" s="252"/>
      <c r="V19" s="132"/>
      <c r="W19" s="269"/>
    </row>
    <row r="20" spans="1:23" s="6" customFormat="1" ht="61.5">
      <c r="A20" s="8"/>
      <c r="B20" s="257" t="s">
        <v>213</v>
      </c>
      <c r="C20" s="123">
        <v>14040000</v>
      </c>
      <c r="D20" s="258">
        <v>130000</v>
      </c>
      <c r="E20" s="258">
        <v>27800</v>
      </c>
      <c r="F20" s="201">
        <v>17734.06</v>
      </c>
      <c r="G20" s="258">
        <f t="shared" si="0"/>
        <v>-10065.939999999999</v>
      </c>
      <c r="H20" s="195">
        <f t="shared" si="3"/>
        <v>63.79158273381296</v>
      </c>
      <c r="I20" s="259">
        <f t="shared" si="4"/>
        <v>-112265.94</v>
      </c>
      <c r="J20" s="259">
        <f t="shared" si="5"/>
        <v>13.641584615384616</v>
      </c>
      <c r="K20" s="260">
        <v>18270.89</v>
      </c>
      <c r="L20" s="166">
        <f t="shared" si="1"/>
        <v>-536.8299999999981</v>
      </c>
      <c r="M20" s="261">
        <f t="shared" si="2"/>
        <v>0.9706182895305047</v>
      </c>
      <c r="N20" s="195">
        <f>E20-лютий!E19</f>
        <v>9800</v>
      </c>
      <c r="O20" s="179">
        <f>F20-лютий!F19</f>
        <v>4028.1500000000015</v>
      </c>
      <c r="P20" s="166">
        <f t="shared" si="6"/>
        <v>-5771.8499999999985</v>
      </c>
      <c r="Q20" s="259">
        <f t="shared" si="7"/>
        <v>41.10357142857144</v>
      </c>
      <c r="R20" s="107"/>
      <c r="S20" s="108"/>
      <c r="T20" s="262">
        <v>4250</v>
      </c>
      <c r="U20" s="263">
        <f t="shared" si="8"/>
        <v>-221.84999999999854</v>
      </c>
      <c r="V20" s="267">
        <v>17955.9</v>
      </c>
      <c r="W20" s="270">
        <f>F20-V20</f>
        <v>-221.84000000000015</v>
      </c>
    </row>
    <row r="21" spans="1:23" s="6" customFormat="1" ht="18">
      <c r="A21" s="8"/>
      <c r="B21" s="257" t="s">
        <v>178</v>
      </c>
      <c r="C21" s="123">
        <v>14021900</v>
      </c>
      <c r="D21" s="258">
        <v>0</v>
      </c>
      <c r="E21" s="258">
        <v>0</v>
      </c>
      <c r="F21" s="201">
        <v>2236.79</v>
      </c>
      <c r="G21" s="258">
        <f t="shared" si="0"/>
        <v>2236.79</v>
      </c>
      <c r="H21" s="195"/>
      <c r="I21" s="259">
        <f t="shared" si="4"/>
        <v>2236.79</v>
      </c>
      <c r="J21" s="259"/>
      <c r="K21" s="260">
        <v>0</v>
      </c>
      <c r="L21" s="166">
        <f t="shared" si="1"/>
        <v>2236.79</v>
      </c>
      <c r="M21" s="261"/>
      <c r="N21" s="195">
        <v>0</v>
      </c>
      <c r="O21" s="179">
        <f>F21</f>
        <v>2236.79</v>
      </c>
      <c r="P21" s="166"/>
      <c r="Q21" s="259"/>
      <c r="R21" s="107"/>
      <c r="S21" s="108"/>
      <c r="T21" s="262"/>
      <c r="U21" s="263"/>
      <c r="V21" s="267"/>
      <c r="W21" s="269"/>
    </row>
    <row r="22" spans="1:23" s="6" customFormat="1" ht="18">
      <c r="A22" s="8"/>
      <c r="B22" s="257" t="s">
        <v>179</v>
      </c>
      <c r="C22" s="123">
        <v>14031900</v>
      </c>
      <c r="D22" s="258">
        <v>0</v>
      </c>
      <c r="E22" s="258">
        <v>0</v>
      </c>
      <c r="F22" s="201">
        <v>7663.01</v>
      </c>
      <c r="G22" s="258">
        <f t="shared" si="0"/>
        <v>7663.01</v>
      </c>
      <c r="H22" s="195"/>
      <c r="I22" s="259">
        <f t="shared" si="4"/>
        <v>7663.01</v>
      </c>
      <c r="J22" s="259"/>
      <c r="K22" s="260">
        <v>0</v>
      </c>
      <c r="L22" s="166">
        <f t="shared" si="1"/>
        <v>7663.01</v>
      </c>
      <c r="M22" s="261"/>
      <c r="N22" s="195">
        <v>0</v>
      </c>
      <c r="O22" s="179">
        <f>F22</f>
        <v>7663.01</v>
      </c>
      <c r="P22" s="166"/>
      <c r="Q22" s="259"/>
      <c r="R22" s="107"/>
      <c r="S22" s="108"/>
      <c r="T22" s="262"/>
      <c r="U22" s="263"/>
      <c r="V22" s="267"/>
      <c r="W22" s="269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 t="shared" si="0"/>
        <v>1334.0599999999977</v>
      </c>
      <c r="H23" s="157">
        <f t="shared" si="3"/>
        <v>101.29976568246808</v>
      </c>
      <c r="I23" s="158">
        <f t="shared" si="4"/>
        <v>-297157.54</v>
      </c>
      <c r="J23" s="158">
        <f t="shared" si="5"/>
        <v>25.91990977490844</v>
      </c>
      <c r="K23" s="158">
        <v>78944.09</v>
      </c>
      <c r="L23" s="161">
        <f t="shared" si="1"/>
        <v>25028.47</v>
      </c>
      <c r="M23" s="209">
        <f t="shared" si="2"/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 t="shared" si="6"/>
        <v>-1848.6900000000023</v>
      </c>
      <c r="Q23" s="158">
        <f t="shared" si="7"/>
        <v>93.07969603952982</v>
      </c>
      <c r="R23" s="107"/>
      <c r="S23" s="108"/>
      <c r="T23" s="147"/>
      <c r="U23" s="252"/>
      <c r="V23" s="132"/>
      <c r="W23" s="269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 t="shared" si="0"/>
        <v>722.5599999999977</v>
      </c>
      <c r="H24" s="157">
        <f t="shared" si="3"/>
        <v>101.51034263641077</v>
      </c>
      <c r="I24" s="158">
        <f t="shared" si="4"/>
        <v>-158057.64</v>
      </c>
      <c r="J24" s="158">
        <f t="shared" si="5"/>
        <v>23.50359353599102</v>
      </c>
      <c r="K24" s="158">
        <v>40388.11</v>
      </c>
      <c r="L24" s="161">
        <f t="shared" si="1"/>
        <v>8175.25</v>
      </c>
      <c r="M24" s="209">
        <f t="shared" si="2"/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 t="shared" si="6"/>
        <v>1348.3099999999977</v>
      </c>
      <c r="Q24" s="158">
        <f t="shared" si="7"/>
        <v>108.55526649746193</v>
      </c>
      <c r="R24" s="107"/>
      <c r="S24" s="108"/>
      <c r="T24" s="147"/>
      <c r="U24" s="252"/>
      <c r="V24" s="132"/>
      <c r="W24" s="269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 t="shared" si="0"/>
        <v>263.9399999999996</v>
      </c>
      <c r="H25" s="173">
        <f t="shared" si="3"/>
        <v>105.33212121212121</v>
      </c>
      <c r="I25" s="174">
        <f t="shared" si="4"/>
        <v>-17595.06</v>
      </c>
      <c r="J25" s="174">
        <f t="shared" si="5"/>
        <v>22.859134552150465</v>
      </c>
      <c r="K25" s="175">
        <v>4194.89</v>
      </c>
      <c r="L25" s="166">
        <f t="shared" si="1"/>
        <v>1019.0499999999993</v>
      </c>
      <c r="M25" s="215">
        <f t="shared" si="2"/>
        <v>1.2429265129717344</v>
      </c>
      <c r="N25" s="195">
        <f>E25-лютий!E22</f>
        <v>575</v>
      </c>
      <c r="O25" s="179">
        <f>F25-лютий!F22</f>
        <v>805.7299999999996</v>
      </c>
      <c r="P25" s="177">
        <f t="shared" si="6"/>
        <v>230.72999999999956</v>
      </c>
      <c r="Q25" s="174">
        <f t="shared" si="7"/>
        <v>140.12695652173906</v>
      </c>
      <c r="R25" s="107"/>
      <c r="S25" s="108"/>
      <c r="T25" s="147">
        <v>374</v>
      </c>
      <c r="U25" s="252">
        <f t="shared" si="8"/>
        <v>431.72999999999956</v>
      </c>
      <c r="V25" s="132"/>
      <c r="W25" s="269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 t="shared" si="0"/>
        <v>-92.93</v>
      </c>
      <c r="H26" s="199">
        <f t="shared" si="3"/>
        <v>62.827999999999996</v>
      </c>
      <c r="I26" s="200">
        <f t="shared" si="4"/>
        <v>-1665.23</v>
      </c>
      <c r="J26" s="200">
        <f t="shared" si="5"/>
        <v>8.619327223838006</v>
      </c>
      <c r="K26" s="200">
        <v>156.42</v>
      </c>
      <c r="L26" s="200">
        <f t="shared" si="1"/>
        <v>0.6500000000000057</v>
      </c>
      <c r="M26" s="228">
        <f t="shared" si="2"/>
        <v>1.0041554788390232</v>
      </c>
      <c r="N26" s="237">
        <f>E26-лютий!E23</f>
        <v>55</v>
      </c>
      <c r="O26" s="237">
        <f>F26-лютий!F23</f>
        <v>6.840000000000003</v>
      </c>
      <c r="P26" s="200">
        <f t="shared" si="6"/>
        <v>-48.16</v>
      </c>
      <c r="Q26" s="200">
        <f t="shared" si="7"/>
        <v>12.436363636363643</v>
      </c>
      <c r="R26" s="107"/>
      <c r="S26" s="108"/>
      <c r="T26" s="147"/>
      <c r="U26" s="252">
        <f t="shared" si="8"/>
        <v>6.840000000000003</v>
      </c>
      <c r="V26" s="132"/>
      <c r="W26" s="269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 t="shared" si="0"/>
        <v>356.8699999999999</v>
      </c>
      <c r="H27" s="199">
        <f t="shared" si="3"/>
        <v>107.59297872340426</v>
      </c>
      <c r="I27" s="200">
        <f t="shared" si="4"/>
        <v>-15929.830000000002</v>
      </c>
      <c r="J27" s="200">
        <f t="shared" si="5"/>
        <v>24.095593876121544</v>
      </c>
      <c r="K27" s="200">
        <v>4038.47</v>
      </c>
      <c r="L27" s="200">
        <f t="shared" si="1"/>
        <v>1018.4000000000001</v>
      </c>
      <c r="M27" s="228">
        <f t="shared" si="2"/>
        <v>1.2521747097291795</v>
      </c>
      <c r="N27" s="237">
        <f>E27-лютий!E24</f>
        <v>520</v>
      </c>
      <c r="O27" s="237">
        <f>F27-лютий!F24</f>
        <v>798.8900000000003</v>
      </c>
      <c r="P27" s="200">
        <f t="shared" si="6"/>
        <v>278.8900000000003</v>
      </c>
      <c r="Q27" s="200">
        <f t="shared" si="7"/>
        <v>153.63269230769237</v>
      </c>
      <c r="R27" s="107"/>
      <c r="S27" s="108"/>
      <c r="T27" s="147"/>
      <c r="U27" s="252">
        <f t="shared" si="8"/>
        <v>798.8900000000003</v>
      </c>
      <c r="V27" s="132"/>
      <c r="W27" s="269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 t="shared" si="0"/>
        <v>-24.549999999999997</v>
      </c>
      <c r="H28" s="173">
        <f t="shared" si="3"/>
        <v>56.00358422939068</v>
      </c>
      <c r="I28" s="174">
        <f t="shared" si="4"/>
        <v>-788.75</v>
      </c>
      <c r="J28" s="174">
        <f t="shared" si="5"/>
        <v>3.8109756097560976</v>
      </c>
      <c r="K28" s="174">
        <v>313.88</v>
      </c>
      <c r="L28" s="174">
        <f t="shared" si="1"/>
        <v>-282.63</v>
      </c>
      <c r="M28" s="212">
        <f t="shared" si="2"/>
        <v>0.09956034153179559</v>
      </c>
      <c r="N28" s="195">
        <f>E28-лютий!E25</f>
        <v>5</v>
      </c>
      <c r="O28" s="179">
        <f>F28-лютий!F25</f>
        <v>-47.92</v>
      </c>
      <c r="P28" s="177">
        <f t="shared" si="6"/>
        <v>-52.92</v>
      </c>
      <c r="Q28" s="174">
        <f>O28/N28*100</f>
        <v>-958.4</v>
      </c>
      <c r="R28" s="107"/>
      <c r="S28" s="108"/>
      <c r="T28" s="147">
        <v>0</v>
      </c>
      <c r="U28" s="252">
        <f t="shared" si="8"/>
        <v>-47.92</v>
      </c>
      <c r="V28" s="132"/>
      <c r="W28" s="269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 t="shared" si="0"/>
        <v>483.16999999999825</v>
      </c>
      <c r="H29" s="173">
        <f t="shared" si="3"/>
        <v>101.1279794560523</v>
      </c>
      <c r="I29" s="174">
        <f t="shared" si="4"/>
        <v>-139673.83000000002</v>
      </c>
      <c r="J29" s="174">
        <f t="shared" si="5"/>
        <v>23.672165996327706</v>
      </c>
      <c r="K29" s="175">
        <v>35879.34</v>
      </c>
      <c r="L29" s="175">
        <f t="shared" si="1"/>
        <v>7438.830000000002</v>
      </c>
      <c r="M29" s="211">
        <f t="shared" si="2"/>
        <v>1.2073290645814556</v>
      </c>
      <c r="N29" s="195">
        <f>E29-лютий!E26</f>
        <v>15180</v>
      </c>
      <c r="O29" s="179">
        <f>F29-лютий!F26</f>
        <v>16350.5</v>
      </c>
      <c r="P29" s="177">
        <f t="shared" si="6"/>
        <v>1170.5</v>
      </c>
      <c r="Q29" s="174">
        <f>O29/N29*100</f>
        <v>107.71080368906456</v>
      </c>
      <c r="R29" s="107"/>
      <c r="S29" s="108"/>
      <c r="T29" s="147">
        <v>15224</v>
      </c>
      <c r="U29" s="252">
        <f t="shared" si="8"/>
        <v>1126.5</v>
      </c>
      <c r="V29" s="132">
        <v>42191.7</v>
      </c>
      <c r="W29" s="270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 t="shared" si="0"/>
        <v>1605.4400000000005</v>
      </c>
      <c r="H30" s="199">
        <f t="shared" si="3"/>
        <v>112.51317225253312</v>
      </c>
      <c r="I30" s="200">
        <f t="shared" si="4"/>
        <v>-43097.56</v>
      </c>
      <c r="J30" s="200">
        <f t="shared" si="5"/>
        <v>25.0907131559279</v>
      </c>
      <c r="K30" s="200">
        <v>10893.12</v>
      </c>
      <c r="L30" s="200">
        <f t="shared" si="1"/>
        <v>3542.3199999999997</v>
      </c>
      <c r="M30" s="228">
        <f t="shared" si="2"/>
        <v>1.3251887429863987</v>
      </c>
      <c r="N30" s="237">
        <f>E30-лютий!E27</f>
        <v>4650</v>
      </c>
      <c r="O30" s="237">
        <f>F30-лютий!F27</f>
        <v>5576.230000000001</v>
      </c>
      <c r="P30" s="200">
        <f t="shared" si="6"/>
        <v>926.2300000000014</v>
      </c>
      <c r="Q30" s="200">
        <f>O30/N30*100</f>
        <v>119.91892473118281</v>
      </c>
      <c r="R30" s="107"/>
      <c r="S30" s="108"/>
      <c r="T30" s="147"/>
      <c r="U30" s="252">
        <f t="shared" si="8"/>
        <v>5576.230000000001</v>
      </c>
      <c r="V30" s="132"/>
      <c r="W30" s="269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 t="shared" si="0"/>
        <v>-1122.2700000000004</v>
      </c>
      <c r="H31" s="199">
        <f t="shared" si="3"/>
        <v>96.25972337943676</v>
      </c>
      <c r="I31" s="200">
        <f t="shared" si="4"/>
        <v>-96576.27</v>
      </c>
      <c r="J31" s="200">
        <f t="shared" si="5"/>
        <v>23.02164850668346</v>
      </c>
      <c r="K31" s="200">
        <v>24986.12</v>
      </c>
      <c r="L31" s="200">
        <f t="shared" si="1"/>
        <v>3896.6100000000006</v>
      </c>
      <c r="M31" s="228">
        <f t="shared" si="2"/>
        <v>1.1559509839863091</v>
      </c>
      <c r="N31" s="237">
        <f>E31-лютий!E28</f>
        <v>10530</v>
      </c>
      <c r="O31" s="237">
        <f>F31-лютий!F28</f>
        <v>10774.27</v>
      </c>
      <c r="P31" s="200">
        <f t="shared" si="6"/>
        <v>244.27000000000044</v>
      </c>
      <c r="Q31" s="200">
        <f>O31/N31*100</f>
        <v>102.31975308641977</v>
      </c>
      <c r="R31" s="107"/>
      <c r="S31" s="108"/>
      <c r="T31" s="147"/>
      <c r="U31" s="252">
        <f t="shared" si="8"/>
        <v>10774.27</v>
      </c>
      <c r="V31" s="132"/>
      <c r="W31" s="269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E32-лютий!E29</f>
        <v>0</v>
      </c>
      <c r="O32" s="160">
        <f>F32-лютий!F29</f>
        <v>0</v>
      </c>
      <c r="P32" s="161">
        <f t="shared" si="6"/>
        <v>0</v>
      </c>
      <c r="Q32" s="158"/>
      <c r="R32" s="107"/>
      <c r="S32" s="108"/>
      <c r="T32" s="147"/>
      <c r="U32" s="252"/>
      <c r="V32" s="132"/>
      <c r="W32" s="269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 t="shared" si="0"/>
        <v>18.200000000000003</v>
      </c>
      <c r="H33" s="157">
        <f t="shared" si="3"/>
        <v>195.78947368421055</v>
      </c>
      <c r="I33" s="158">
        <f t="shared" si="4"/>
        <v>-77.8</v>
      </c>
      <c r="J33" s="158">
        <f t="shared" si="5"/>
        <v>32.34782608695652</v>
      </c>
      <c r="K33" s="158">
        <v>24.81</v>
      </c>
      <c r="L33" s="158">
        <f t="shared" si="1"/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 t="shared" si="6"/>
        <v>-1</v>
      </c>
      <c r="Q33" s="158">
        <f>O33/N33*100</f>
        <v>75</v>
      </c>
      <c r="R33" s="107"/>
      <c r="S33" s="108"/>
      <c r="T33" s="147">
        <v>4.5</v>
      </c>
      <c r="U33" s="252"/>
      <c r="V33" s="132"/>
      <c r="W33" s="269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 t="shared" si="0"/>
        <v>-24.82</v>
      </c>
      <c r="H34" s="157"/>
      <c r="I34" s="158">
        <f t="shared" si="4"/>
        <v>-24.82</v>
      </c>
      <c r="J34" s="158"/>
      <c r="K34" s="158">
        <v>-81.54</v>
      </c>
      <c r="L34" s="158">
        <f t="shared" si="1"/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 t="shared" si="6"/>
        <v>-14.06</v>
      </c>
      <c r="Q34" s="158" t="e">
        <f>O34/N34*100</f>
        <v>#DIV/0!</v>
      </c>
      <c r="R34" s="107"/>
      <c r="S34" s="108"/>
      <c r="T34" s="147"/>
      <c r="U34" s="252"/>
      <c r="V34" s="132"/>
      <c r="W34" s="269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 t="shared" si="0"/>
        <v>617.9200000000055</v>
      </c>
      <c r="H35" s="164">
        <f t="shared" si="3"/>
        <v>101.12802969037236</v>
      </c>
      <c r="I35" s="165">
        <f t="shared" si="4"/>
        <v>-138997.48</v>
      </c>
      <c r="J35" s="165">
        <f t="shared" si="5"/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 t="shared" si="6"/>
        <v>-3181.939999999995</v>
      </c>
      <c r="Q35" s="165">
        <f>O35/N35*100</f>
        <v>70.94118721461193</v>
      </c>
      <c r="R35" s="107"/>
      <c r="S35" s="108"/>
      <c r="T35" s="147">
        <v>6650</v>
      </c>
      <c r="U35" s="252">
        <f t="shared" si="8"/>
        <v>1118.060000000005</v>
      </c>
      <c r="V35" s="132"/>
      <c r="W35" s="269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0.16</v>
      </c>
      <c r="L36" s="127">
        <f t="shared" si="1"/>
        <v>-0.16</v>
      </c>
      <c r="M36" s="216">
        <f aca="true" t="shared" si="9" ref="M36:M43">F36/K36</f>
        <v>0</v>
      </c>
      <c r="N36" s="105">
        <f>E36-лютий!E33</f>
        <v>0</v>
      </c>
      <c r="O36" s="144">
        <f>F36-лютий!F33</f>
        <v>0</v>
      </c>
      <c r="P36" s="106">
        <f t="shared" si="6"/>
        <v>0</v>
      </c>
      <c r="Q36" s="104"/>
      <c r="R36" s="107"/>
      <c r="S36" s="108"/>
      <c r="T36" s="147"/>
      <c r="U36" s="252">
        <f t="shared" si="8"/>
        <v>0</v>
      </c>
      <c r="V36" s="132"/>
      <c r="W36" s="269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 t="shared" si="0"/>
        <v>547.9200000000001</v>
      </c>
      <c r="H37" s="105">
        <f t="shared" si="3"/>
        <v>105.26846153846154</v>
      </c>
      <c r="I37" s="104">
        <f t="shared" si="4"/>
        <v>-30052.08</v>
      </c>
      <c r="J37" s="104">
        <f t="shared" si="5"/>
        <v>26.702243902439026</v>
      </c>
      <c r="K37" s="127">
        <v>9812.49</v>
      </c>
      <c r="L37" s="127">
        <f t="shared" si="1"/>
        <v>1135.4300000000003</v>
      </c>
      <c r="M37" s="216">
        <f t="shared" si="9"/>
        <v>1.1157127293887688</v>
      </c>
      <c r="N37" s="105">
        <f>E37-лютий!E34</f>
        <v>1290</v>
      </c>
      <c r="O37" s="144">
        <f>F37-лютий!F34</f>
        <v>1191.9699999999993</v>
      </c>
      <c r="P37" s="106">
        <f t="shared" si="6"/>
        <v>-98.03000000000065</v>
      </c>
      <c r="Q37" s="104">
        <f>O37/N37*100</f>
        <v>92.4007751937984</v>
      </c>
      <c r="R37" s="107"/>
      <c r="S37" s="108"/>
      <c r="T37" s="147"/>
      <c r="U37" s="252">
        <f t="shared" si="8"/>
        <v>1191.9699999999993</v>
      </c>
      <c r="V37" s="132"/>
      <c r="W37" s="269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 t="shared" si="0"/>
        <v>72.58000000000175</v>
      </c>
      <c r="H38" s="105">
        <f t="shared" si="3"/>
        <v>100.1636158701533</v>
      </c>
      <c r="I38" s="104">
        <f t="shared" si="4"/>
        <v>-108906.52</v>
      </c>
      <c r="J38" s="104">
        <f t="shared" si="5"/>
        <v>28.97667979008616</v>
      </c>
      <c r="K38" s="127">
        <v>28792.38</v>
      </c>
      <c r="L38" s="127">
        <f t="shared" si="1"/>
        <v>15640.2</v>
      </c>
      <c r="M38" s="216">
        <f t="shared" si="9"/>
        <v>1.5432062233132517</v>
      </c>
      <c r="N38" s="105">
        <f>E38-лютий!E35</f>
        <v>9660</v>
      </c>
      <c r="O38" s="144">
        <f>F38-лютий!F35</f>
        <v>6576.080000000002</v>
      </c>
      <c r="P38" s="106">
        <f t="shared" si="6"/>
        <v>-3083.9199999999983</v>
      </c>
      <c r="Q38" s="104">
        <f>O38/N38*100</f>
        <v>68.07536231884059</v>
      </c>
      <c r="R38" s="107"/>
      <c r="S38" s="108"/>
      <c r="T38" s="147"/>
      <c r="U38" s="252">
        <f t="shared" si="8"/>
        <v>6576.080000000002</v>
      </c>
      <c r="V38" s="132"/>
      <c r="W38" s="269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 t="shared" si="0"/>
        <v>-2.59</v>
      </c>
      <c r="H39" s="105">
        <f t="shared" si="3"/>
        <v>86.14973262032085</v>
      </c>
      <c r="I39" s="104">
        <f t="shared" si="4"/>
        <v>-38.89</v>
      </c>
      <c r="J39" s="104">
        <f t="shared" si="5"/>
        <v>29.29090909090909</v>
      </c>
      <c r="K39" s="127">
        <v>7.69</v>
      </c>
      <c r="L39" s="127">
        <f t="shared" si="1"/>
        <v>8.419999999999998</v>
      </c>
      <c r="M39" s="216">
        <f t="shared" si="9"/>
        <v>2.094928478543563</v>
      </c>
      <c r="N39" s="105">
        <f>E39-лютий!E36</f>
        <v>0</v>
      </c>
      <c r="O39" s="144">
        <f>F39-лютий!F36</f>
        <v>0</v>
      </c>
      <c r="P39" s="106">
        <f t="shared" si="6"/>
        <v>0</v>
      </c>
      <c r="Q39" s="104"/>
      <c r="R39" s="107"/>
      <c r="S39" s="108"/>
      <c r="T39" s="147"/>
      <c r="U39" s="252">
        <f t="shared" si="8"/>
        <v>0</v>
      </c>
      <c r="V39" s="132"/>
      <c r="W39" s="269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E40-лютий!E37</f>
        <v>0</v>
      </c>
      <c r="O40" s="160">
        <f>F40-лютий!F37</f>
        <v>0</v>
      </c>
      <c r="P40" s="36">
        <f t="shared" si="6"/>
        <v>0</v>
      </c>
      <c r="Q40" s="37"/>
      <c r="R40" s="107"/>
      <c r="S40" s="108"/>
      <c r="T40" s="147"/>
      <c r="U40" s="252">
        <f t="shared" si="8"/>
        <v>0</v>
      </c>
      <c r="V40" s="132"/>
      <c r="W40" s="269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 t="shared" si="1"/>
        <v>3201.9800000000014</v>
      </c>
      <c r="M41" s="205">
        <f t="shared" si="9"/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52"/>
      <c r="W41" s="269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 aca="true" t="shared" si="10" ref="H42:H65">F42/E42*100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 t="shared" si="1"/>
        <v>-281.47</v>
      </c>
      <c r="M42" s="218">
        <f t="shared" si="9"/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 aca="true" t="shared" si="11" ref="Q42:Q65">O42/N42*100</f>
        <v>#DIV/0!</v>
      </c>
      <c r="R42" s="37"/>
      <c r="S42" s="94"/>
      <c r="T42" s="147">
        <v>-196</v>
      </c>
      <c r="U42" s="252">
        <f t="shared" si="8"/>
        <v>0</v>
      </c>
      <c r="V42" s="132"/>
      <c r="W42" s="269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 aca="true" t="shared" si="12" ref="G43:G66">F43-E43</f>
        <v>-598.1599999999999</v>
      </c>
      <c r="H43" s="164">
        <f t="shared" si="10"/>
        <v>88.71396226415095</v>
      </c>
      <c r="I43" s="165">
        <f aca="true" t="shared" si="13" ref="I43:I66">F43-D43</f>
        <v>-25298.16</v>
      </c>
      <c r="J43" s="165">
        <f>F43/D43*100</f>
        <v>15.6728</v>
      </c>
      <c r="K43" s="165">
        <v>3537.38</v>
      </c>
      <c r="L43" s="165">
        <f t="shared" si="1"/>
        <v>1164.46</v>
      </c>
      <c r="M43" s="218">
        <f t="shared" si="9"/>
        <v>1.3291871385036382</v>
      </c>
      <c r="N43" s="164">
        <f>E43-лютий!E40</f>
        <v>2800</v>
      </c>
      <c r="O43" s="168">
        <f>F43-лютий!F40</f>
        <v>2585.52</v>
      </c>
      <c r="P43" s="167">
        <f aca="true" t="shared" si="14" ref="P43:P66">O43-N43</f>
        <v>-214.48000000000002</v>
      </c>
      <c r="Q43" s="165">
        <f t="shared" si="11"/>
        <v>92.34</v>
      </c>
      <c r="R43" s="37"/>
      <c r="S43" s="94"/>
      <c r="T43" s="147"/>
      <c r="U43" s="252"/>
      <c r="V43" s="132"/>
      <c r="W43" s="269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 t="shared" si="12"/>
        <v>53.08</v>
      </c>
      <c r="H44" s="164">
        <f>F44/E44*100</f>
        <v>379.36842105263156</v>
      </c>
      <c r="I44" s="165">
        <f t="shared" si="13"/>
        <v>32.08</v>
      </c>
      <c r="J44" s="165">
        <f aca="true" t="shared" si="15" ref="J44:J65">F44/D44*100</f>
        <v>180.20000000000002</v>
      </c>
      <c r="K44" s="165">
        <v>26.96</v>
      </c>
      <c r="L44" s="165">
        <f t="shared" si="1"/>
        <v>45.12</v>
      </c>
      <c r="M44" s="218">
        <f aca="true" t="shared" si="16" ref="M44:M66">F44/K44</f>
        <v>2.6735905044510386</v>
      </c>
      <c r="N44" s="164">
        <f>E44-лютий!E41</f>
        <v>3</v>
      </c>
      <c r="O44" s="168">
        <f>F44-лютий!F41</f>
        <v>15</v>
      </c>
      <c r="P44" s="167">
        <f t="shared" si="14"/>
        <v>12</v>
      </c>
      <c r="Q44" s="165">
        <f t="shared" si="11"/>
        <v>500</v>
      </c>
      <c r="R44" s="37"/>
      <c r="S44" s="94"/>
      <c r="T44" s="147"/>
      <c r="U44" s="252"/>
      <c r="V44" s="132"/>
      <c r="W44" s="269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5"/>
        <v>#DIV/0!</v>
      </c>
      <c r="K45" s="165">
        <v>0.1</v>
      </c>
      <c r="L45" s="165">
        <f t="shared" si="1"/>
        <v>1.9299999999999997</v>
      </c>
      <c r="M45" s="218">
        <f t="shared" si="16"/>
        <v>20.299999999999997</v>
      </c>
      <c r="N45" s="164">
        <f>E45-лютий!E42</f>
        <v>0</v>
      </c>
      <c r="O45" s="168">
        <f>F45-лютий!F42</f>
        <v>0</v>
      </c>
      <c r="P45" s="167">
        <f t="shared" si="14"/>
        <v>0</v>
      </c>
      <c r="Q45" s="165" t="e">
        <f t="shared" si="11"/>
        <v>#DIV/0!</v>
      </c>
      <c r="R45" s="37"/>
      <c r="S45" s="94"/>
      <c r="T45" s="147"/>
      <c r="U45" s="252"/>
      <c r="V45" s="132"/>
      <c r="W45" s="269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 t="shared" si="12"/>
        <v>215.76</v>
      </c>
      <c r="H46" s="164">
        <f t="shared" si="10"/>
        <v>447.99999999999994</v>
      </c>
      <c r="I46" s="165">
        <f t="shared" si="13"/>
        <v>17.75999999999999</v>
      </c>
      <c r="J46" s="165">
        <f t="shared" si="15"/>
        <v>106.83076923076922</v>
      </c>
      <c r="K46" s="165">
        <v>20.4</v>
      </c>
      <c r="L46" s="165">
        <f t="shared" si="1"/>
        <v>257.36</v>
      </c>
      <c r="M46" s="218">
        <f t="shared" si="16"/>
        <v>13.615686274509805</v>
      </c>
      <c r="N46" s="164">
        <f>E46-лютий!E43</f>
        <v>22</v>
      </c>
      <c r="O46" s="168">
        <f>F46-лютий!F43</f>
        <v>195.68</v>
      </c>
      <c r="P46" s="167">
        <f t="shared" si="14"/>
        <v>173.68</v>
      </c>
      <c r="Q46" s="165">
        <f t="shared" si="11"/>
        <v>889.4545454545455</v>
      </c>
      <c r="R46" s="37"/>
      <c r="S46" s="94"/>
      <c r="T46" s="147"/>
      <c r="U46" s="252"/>
      <c r="V46" s="132"/>
      <c r="W46" s="269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 t="shared" si="12"/>
        <v>-26.689999999999998</v>
      </c>
      <c r="H47" s="164">
        <f t="shared" si="10"/>
        <v>1.875</v>
      </c>
      <c r="I47" s="165">
        <f t="shared" si="13"/>
        <v>-96.99</v>
      </c>
      <c r="J47" s="165">
        <f t="shared" si="15"/>
        <v>0.5230769230769231</v>
      </c>
      <c r="K47" s="165">
        <v>0</v>
      </c>
      <c r="L47" s="165">
        <f t="shared" si="1"/>
        <v>0.51</v>
      </c>
      <c r="M47" s="218"/>
      <c r="N47" s="164">
        <f>E47-лютий!E44</f>
        <v>13.6</v>
      </c>
      <c r="O47" s="168">
        <f>F47-лютий!F44</f>
        <v>0.51</v>
      </c>
      <c r="P47" s="167">
        <f t="shared" si="14"/>
        <v>-13.09</v>
      </c>
      <c r="Q47" s="165">
        <f t="shared" si="11"/>
        <v>3.75</v>
      </c>
      <c r="R47" s="37"/>
      <c r="S47" s="94"/>
      <c r="T47" s="147"/>
      <c r="U47" s="252"/>
      <c r="V47" s="132"/>
      <c r="W47" s="269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 t="shared" si="12"/>
        <v>20.94999999999999</v>
      </c>
      <c r="H48" s="164">
        <f t="shared" si="10"/>
        <v>107.48214285714286</v>
      </c>
      <c r="I48" s="165">
        <f t="shared" si="13"/>
        <v>-429.05</v>
      </c>
      <c r="J48" s="165">
        <f t="shared" si="15"/>
        <v>41.226027397260275</v>
      </c>
      <c r="K48" s="165">
        <v>0</v>
      </c>
      <c r="L48" s="165">
        <f t="shared" si="1"/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 t="shared" si="14"/>
        <v>-51.44</v>
      </c>
      <c r="Q48" s="165">
        <f t="shared" si="11"/>
        <v>67.85</v>
      </c>
      <c r="R48" s="37"/>
      <c r="S48" s="94"/>
      <c r="T48" s="147"/>
      <c r="U48" s="252"/>
      <c r="V48" s="132"/>
      <c r="W48" s="269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6"/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52"/>
      <c r="V49" s="132"/>
      <c r="W49" s="269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 t="shared" si="12"/>
        <v>244.94000000000005</v>
      </c>
      <c r="H50" s="164">
        <f t="shared" si="10"/>
        <v>107.33353293413175</v>
      </c>
      <c r="I50" s="165">
        <f t="shared" si="13"/>
        <v>-7415.0599999999995</v>
      </c>
      <c r="J50" s="165">
        <f t="shared" si="15"/>
        <v>32.59036363636364</v>
      </c>
      <c r="K50" s="165">
        <v>2339.58</v>
      </c>
      <c r="L50" s="165">
        <f t="shared" si="1"/>
        <v>1245.3600000000001</v>
      </c>
      <c r="M50" s="218">
        <f t="shared" si="16"/>
        <v>1.5323006693509091</v>
      </c>
      <c r="N50" s="164">
        <f>E50-лютий!E47</f>
        <v>1940</v>
      </c>
      <c r="O50" s="168">
        <f>F50-лютий!F47</f>
        <v>1441.2200000000003</v>
      </c>
      <c r="P50" s="167">
        <f t="shared" si="14"/>
        <v>-498.77999999999975</v>
      </c>
      <c r="Q50" s="165">
        <f t="shared" si="11"/>
        <v>74.28969072164949</v>
      </c>
      <c r="R50" s="37"/>
      <c r="S50" s="94"/>
      <c r="T50" s="147"/>
      <c r="U50" s="252"/>
      <c r="V50" s="132"/>
      <c r="W50" s="269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 t="shared" si="12"/>
        <v>60.19999999999999</v>
      </c>
      <c r="H51" s="164">
        <f t="shared" si="10"/>
        <v>180.26666666666665</v>
      </c>
      <c r="I51" s="165">
        <f t="shared" si="13"/>
        <v>-174.8</v>
      </c>
      <c r="J51" s="165">
        <f t="shared" si="15"/>
        <v>43.61290322580645</v>
      </c>
      <c r="K51" s="165">
        <v>1.2</v>
      </c>
      <c r="L51" s="165">
        <f t="shared" si="1"/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 t="shared" si="14"/>
        <v>19.75999999999999</v>
      </c>
      <c r="Q51" s="165">
        <f t="shared" si="11"/>
        <v>179.03999999999996</v>
      </c>
      <c r="R51" s="37"/>
      <c r="S51" s="94"/>
      <c r="T51" s="147"/>
      <c r="U51" s="252"/>
      <c r="V51" s="132"/>
      <c r="W51" s="269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 t="shared" si="12"/>
        <v>1</v>
      </c>
      <c r="H52" s="164">
        <f t="shared" si="10"/>
        <v>133.33333333333331</v>
      </c>
      <c r="I52" s="165">
        <f t="shared" si="13"/>
        <v>-16</v>
      </c>
      <c r="J52" s="165">
        <f t="shared" si="15"/>
        <v>20</v>
      </c>
      <c r="K52" s="165">
        <v>0</v>
      </c>
      <c r="L52" s="165">
        <f t="shared" si="1"/>
        <v>4</v>
      </c>
      <c r="M52" s="218"/>
      <c r="N52" s="164">
        <f>E52-лютий!E49</f>
        <v>1</v>
      </c>
      <c r="O52" s="168">
        <f>F52-лютий!F49</f>
        <v>4</v>
      </c>
      <c r="P52" s="167">
        <f t="shared" si="14"/>
        <v>3</v>
      </c>
      <c r="Q52" s="165">
        <f t="shared" si="11"/>
        <v>400</v>
      </c>
      <c r="R52" s="37"/>
      <c r="S52" s="94"/>
      <c r="T52" s="147"/>
      <c r="U52" s="252"/>
      <c r="V52" s="132"/>
      <c r="W52" s="269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 t="shared" si="12"/>
        <v>-194.91000000000008</v>
      </c>
      <c r="H53" s="164">
        <f t="shared" si="10"/>
        <v>89.29065934065935</v>
      </c>
      <c r="I53" s="165">
        <f t="shared" si="13"/>
        <v>-5649.91</v>
      </c>
      <c r="J53" s="165">
        <f t="shared" si="15"/>
        <v>22.33800687285223</v>
      </c>
      <c r="K53" s="165">
        <v>2001.53</v>
      </c>
      <c r="L53" s="165">
        <f t="shared" si="1"/>
        <v>-376.44000000000005</v>
      </c>
      <c r="M53" s="218">
        <f t="shared" si="16"/>
        <v>0.8119238782331516</v>
      </c>
      <c r="N53" s="164">
        <f>E53-лютий!E50</f>
        <v>620</v>
      </c>
      <c r="O53" s="168">
        <f>F53-лютий!F50</f>
        <v>461.74</v>
      </c>
      <c r="P53" s="167">
        <f t="shared" si="14"/>
        <v>-158.26</v>
      </c>
      <c r="Q53" s="165">
        <f t="shared" si="11"/>
        <v>74.4741935483871</v>
      </c>
      <c r="R53" s="37"/>
      <c r="S53" s="94"/>
      <c r="T53" s="147"/>
      <c r="U53" s="252"/>
      <c r="V53" s="132"/>
      <c r="W53" s="269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 t="shared" si="12"/>
        <v>11</v>
      </c>
      <c r="H54" s="164">
        <f t="shared" si="10"/>
        <v>104.68085106382978</v>
      </c>
      <c r="I54" s="165">
        <f t="shared" si="13"/>
        <v>-954</v>
      </c>
      <c r="J54" s="165">
        <f t="shared" si="15"/>
        <v>20.5</v>
      </c>
      <c r="K54" s="165">
        <v>1500.1</v>
      </c>
      <c r="L54" s="165">
        <f t="shared" si="1"/>
        <v>-1254.1</v>
      </c>
      <c r="M54" s="218">
        <f t="shared" si="16"/>
        <v>0.16398906739550698</v>
      </c>
      <c r="N54" s="164">
        <f>E54-лютий!E51</f>
        <v>95</v>
      </c>
      <c r="O54" s="168">
        <f>F54-лютий!F51</f>
        <v>156.95</v>
      </c>
      <c r="P54" s="167">
        <f t="shared" si="14"/>
        <v>61.94999999999999</v>
      </c>
      <c r="Q54" s="165">
        <f t="shared" si="11"/>
        <v>165.21052631578945</v>
      </c>
      <c r="R54" s="37"/>
      <c r="S54" s="94"/>
      <c r="T54" s="147"/>
      <c r="U54" s="252"/>
      <c r="V54" s="132"/>
      <c r="W54" s="269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 t="shared" si="12"/>
        <v>30.939999999999998</v>
      </c>
      <c r="H55" s="30">
        <f t="shared" si="10"/>
        <v>116.28421052631579</v>
      </c>
      <c r="I55" s="104">
        <f t="shared" si="13"/>
        <v>-777.06</v>
      </c>
      <c r="J55" s="104">
        <f t="shared" si="15"/>
        <v>22.138276553106213</v>
      </c>
      <c r="K55" s="104">
        <v>163.68</v>
      </c>
      <c r="L55" s="104">
        <f>F55-K55</f>
        <v>57.25999999999999</v>
      </c>
      <c r="M55" s="109">
        <f t="shared" si="16"/>
        <v>1.3498289345063539</v>
      </c>
      <c r="N55" s="105">
        <f>E55-лютий!E52</f>
        <v>80</v>
      </c>
      <c r="O55" s="144">
        <f>F55-лютий!F52</f>
        <v>147.23000000000002</v>
      </c>
      <c r="P55" s="106">
        <f t="shared" si="14"/>
        <v>67.23000000000002</v>
      </c>
      <c r="Q55" s="119">
        <f t="shared" si="11"/>
        <v>184.03750000000002</v>
      </c>
      <c r="R55" s="37"/>
      <c r="S55" s="94"/>
      <c r="T55" s="147"/>
      <c r="U55" s="252"/>
      <c r="V55" s="132"/>
      <c r="W55" s="269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 t="shared" si="12"/>
        <v>0.1</v>
      </c>
      <c r="H56" s="30" t="e">
        <f t="shared" si="10"/>
        <v>#DIV/0!</v>
      </c>
      <c r="I56" s="104">
        <f t="shared" si="13"/>
        <v>-0.9</v>
      </c>
      <c r="J56" s="104">
        <f t="shared" si="15"/>
        <v>10</v>
      </c>
      <c r="K56" s="104">
        <v>0.12</v>
      </c>
      <c r="L56" s="104">
        <f>F56-K56</f>
        <v>-0.01999999999999999</v>
      </c>
      <c r="M56" s="109">
        <f t="shared" si="16"/>
        <v>0.8333333333333334</v>
      </c>
      <c r="N56" s="105">
        <f>E56-лютий!E53</f>
        <v>0</v>
      </c>
      <c r="O56" s="144">
        <f>F56-лютий!F53</f>
        <v>0</v>
      </c>
      <c r="P56" s="106">
        <f t="shared" si="14"/>
        <v>0</v>
      </c>
      <c r="Q56" s="119" t="e">
        <f t="shared" si="11"/>
        <v>#DIV/0!</v>
      </c>
      <c r="R56" s="37"/>
      <c r="S56" s="94"/>
      <c r="T56" s="147"/>
      <c r="U56" s="252"/>
      <c r="V56" s="132"/>
      <c r="W56" s="269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5"/>
        <v>0</v>
      </c>
      <c r="K57" s="104">
        <v>0</v>
      </c>
      <c r="L57" s="104">
        <f>F57-K57</f>
        <v>0</v>
      </c>
      <c r="M57" s="109" t="e">
        <f t="shared" si="16"/>
        <v>#DIV/0!</v>
      </c>
      <c r="N57" s="105">
        <f>E57-лютий!E54</f>
        <v>0</v>
      </c>
      <c r="O57" s="144">
        <f>F57-лютий!F54</f>
        <v>0</v>
      </c>
      <c r="P57" s="106">
        <f t="shared" si="14"/>
        <v>0</v>
      </c>
      <c r="Q57" s="119"/>
      <c r="R57" s="37"/>
      <c r="S57" s="94"/>
      <c r="T57" s="147"/>
      <c r="U57" s="252"/>
      <c r="V57" s="132"/>
      <c r="W57" s="269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 t="shared" si="12"/>
        <v>-20.04</v>
      </c>
      <c r="H58" s="30">
        <f t="shared" si="10"/>
        <v>55.46666666666666</v>
      </c>
      <c r="I58" s="104">
        <f t="shared" si="13"/>
        <v>-175.04</v>
      </c>
      <c r="J58" s="104">
        <f t="shared" si="15"/>
        <v>12.48</v>
      </c>
      <c r="K58" s="104">
        <v>1336.3</v>
      </c>
      <c r="L58" s="104">
        <f>F58-K58</f>
        <v>-1311.34</v>
      </c>
      <c r="M58" s="109">
        <f t="shared" si="16"/>
        <v>0.018678440469954354</v>
      </c>
      <c r="N58" s="105">
        <f>E58-лютий!E55</f>
        <v>15</v>
      </c>
      <c r="O58" s="144">
        <f>F58-лютий!F55</f>
        <v>9.72</v>
      </c>
      <c r="P58" s="106">
        <f t="shared" si="14"/>
        <v>-5.279999999999999</v>
      </c>
      <c r="Q58" s="119">
        <f t="shared" si="11"/>
        <v>64.8</v>
      </c>
      <c r="R58" s="37"/>
      <c r="S58" s="94"/>
      <c r="T58" s="147"/>
      <c r="U58" s="252"/>
      <c r="V58" s="132"/>
      <c r="W58" s="269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5"/>
        <v>81.60000000000001</v>
      </c>
      <c r="K59" s="165">
        <v>2.46</v>
      </c>
      <c r="L59" s="165">
        <f>F59-K59</f>
        <v>-0.41999999999999993</v>
      </c>
      <c r="M59" s="218">
        <f t="shared" si="16"/>
        <v>0.8292682926829269</v>
      </c>
      <c r="N59" s="164">
        <f>E59-лютий!E56</f>
        <v>0</v>
      </c>
      <c r="O59" s="168">
        <f>F59-лютий!F56</f>
        <v>0.3700000000000001</v>
      </c>
      <c r="P59" s="167">
        <f t="shared" si="14"/>
        <v>0.3700000000000001</v>
      </c>
      <c r="Q59" s="165"/>
      <c r="R59" s="37"/>
      <c r="S59" s="94"/>
      <c r="T59" s="147"/>
      <c r="U59" s="252"/>
      <c r="V59" s="132"/>
      <c r="W59" s="269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 t="shared" si="12"/>
        <v>15.730000000000018</v>
      </c>
      <c r="H60" s="164">
        <f t="shared" si="10"/>
        <v>100.5140522875817</v>
      </c>
      <c r="I60" s="165">
        <f t="shared" si="13"/>
        <v>-4274.27</v>
      </c>
      <c r="J60" s="165">
        <f t="shared" si="15"/>
        <v>41.846666666666664</v>
      </c>
      <c r="K60" s="165">
        <v>1114.84</v>
      </c>
      <c r="L60" s="165">
        <f aca="true" t="shared" si="17" ref="L60:L66">F60-K60</f>
        <v>1960.89</v>
      </c>
      <c r="M60" s="218">
        <f t="shared" si="16"/>
        <v>2.7588981378493775</v>
      </c>
      <c r="N60" s="164">
        <f>E60-лютий!E57</f>
        <v>860</v>
      </c>
      <c r="O60" s="168">
        <f>F60-лютий!F57</f>
        <v>364.3000000000002</v>
      </c>
      <c r="P60" s="167">
        <f t="shared" si="14"/>
        <v>-495.6999999999998</v>
      </c>
      <c r="Q60" s="165">
        <f t="shared" si="11"/>
        <v>42.36046511627909</v>
      </c>
      <c r="R60" s="37"/>
      <c r="S60" s="94"/>
      <c r="T60" s="147"/>
      <c r="U60" s="252"/>
      <c r="V60" s="132"/>
      <c r="W60" s="269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5"/>
        <v>#DIV/0!</v>
      </c>
      <c r="K61" s="165"/>
      <c r="L61" s="165">
        <f t="shared" si="17"/>
        <v>0</v>
      </c>
      <c r="M61" s="218" t="e">
        <f t="shared" si="16"/>
        <v>#DIV/0!</v>
      </c>
      <c r="N61" s="164">
        <f>E61-лютий!E58</f>
        <v>0</v>
      </c>
      <c r="O61" s="168">
        <f>F61-лютий!F58</f>
        <v>0</v>
      </c>
      <c r="P61" s="167">
        <f t="shared" si="14"/>
        <v>0</v>
      </c>
      <c r="Q61" s="165" t="e">
        <f t="shared" si="11"/>
        <v>#DIV/0!</v>
      </c>
      <c r="R61" s="37"/>
      <c r="S61" s="94"/>
      <c r="T61" s="147"/>
      <c r="U61" s="252"/>
      <c r="V61" s="132"/>
      <c r="W61" s="269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 t="shared" si="17"/>
        <v>197.29000000000002</v>
      </c>
      <c r="M62" s="218">
        <f t="shared" si="16"/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52"/>
      <c r="V62" s="132"/>
      <c r="W62" s="269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7"/>
        <v>0</v>
      </c>
      <c r="M63" s="218" t="e">
        <f t="shared" si="16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94"/>
      <c r="T63" s="147"/>
      <c r="U63" s="252"/>
      <c r="V63" s="132"/>
      <c r="W63" s="269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 t="shared" si="12"/>
        <v>22.89</v>
      </c>
      <c r="H64" s="164">
        <f t="shared" si="10"/>
        <v>328.90000000000003</v>
      </c>
      <c r="I64" s="165">
        <f t="shared" si="13"/>
        <v>-127.11</v>
      </c>
      <c r="J64" s="165">
        <f t="shared" si="15"/>
        <v>20.556250000000002</v>
      </c>
      <c r="K64" s="165">
        <v>33.09</v>
      </c>
      <c r="L64" s="165">
        <f t="shared" si="17"/>
        <v>-0.20000000000000284</v>
      </c>
      <c r="M64" s="218">
        <f t="shared" si="16"/>
        <v>0.9939558779087336</v>
      </c>
      <c r="N64" s="164">
        <f>E64-лютий!E61</f>
        <v>0</v>
      </c>
      <c r="O64" s="168">
        <f>F64-лютий!F61</f>
        <v>0</v>
      </c>
      <c r="P64" s="167">
        <f t="shared" si="14"/>
        <v>0</v>
      </c>
      <c r="Q64" s="165"/>
      <c r="R64" s="37"/>
      <c r="S64" s="94"/>
      <c r="T64" s="147"/>
      <c r="U64" s="252"/>
      <c r="V64" s="132"/>
      <c r="W64" s="269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 t="shared" si="12"/>
        <v>10.57</v>
      </c>
      <c r="H65" s="164">
        <f t="shared" si="10"/>
        <v>385.6756756756757</v>
      </c>
      <c r="I65" s="165">
        <f t="shared" si="13"/>
        <v>-0.7300000000000004</v>
      </c>
      <c r="J65" s="165">
        <f t="shared" si="15"/>
        <v>95.13333333333333</v>
      </c>
      <c r="K65" s="165">
        <v>5.8</v>
      </c>
      <c r="L65" s="165">
        <f t="shared" si="17"/>
        <v>8.469999999999999</v>
      </c>
      <c r="M65" s="218">
        <f t="shared" si="16"/>
        <v>2.4603448275862068</v>
      </c>
      <c r="N65" s="164">
        <f>E65-лютий!E62</f>
        <v>1.2000000000000002</v>
      </c>
      <c r="O65" s="168">
        <f>F65-лютий!F62</f>
        <v>5.67</v>
      </c>
      <c r="P65" s="167">
        <f t="shared" si="14"/>
        <v>4.47</v>
      </c>
      <c r="Q65" s="165">
        <f t="shared" si="11"/>
        <v>472.49999999999994</v>
      </c>
      <c r="R65" s="37"/>
      <c r="S65" s="94"/>
      <c r="T65" s="147">
        <v>0.3</v>
      </c>
      <c r="U65" s="252">
        <f>O65-T65</f>
        <v>5.37</v>
      </c>
      <c r="V65" s="132"/>
      <c r="W65" s="269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 t="shared" si="12"/>
        <v>-5.33</v>
      </c>
      <c r="H66" s="164"/>
      <c r="I66" s="165">
        <f t="shared" si="13"/>
        <v>-5.33</v>
      </c>
      <c r="J66" s="165"/>
      <c r="K66" s="165">
        <v>0</v>
      </c>
      <c r="L66" s="165">
        <f t="shared" si="17"/>
        <v>-5.33</v>
      </c>
      <c r="M66" s="218" t="e">
        <f t="shared" si="16"/>
        <v>#DIV/0!</v>
      </c>
      <c r="N66" s="164">
        <f>E66-лютий!E63</f>
        <v>0</v>
      </c>
      <c r="O66" s="168">
        <f>F66-лютий!F63</f>
        <v>0</v>
      </c>
      <c r="P66" s="167">
        <f t="shared" si="14"/>
        <v>0</v>
      </c>
      <c r="Q66" s="165"/>
      <c r="R66" s="37"/>
      <c r="S66" s="94"/>
      <c r="T66" s="147"/>
      <c r="U66" s="252"/>
      <c r="V66" s="132"/>
      <c r="W66" s="269"/>
    </row>
    <row r="67" spans="1:23" s="6" customFormat="1" ht="18">
      <c r="A67" s="9"/>
      <c r="B67" s="14" t="s">
        <v>192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52">
        <f>O67-T67</f>
        <v>14341.229999999981</v>
      </c>
      <c r="V67" s="132">
        <v>293087.8</v>
      </c>
      <c r="W67" s="270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53"/>
      <c r="U68" s="256"/>
      <c r="V68" s="268"/>
      <c r="W68" s="268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53"/>
      <c r="U69" s="256"/>
      <c r="V69" s="268"/>
      <c r="W69" s="268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53"/>
      <c r="U70" s="256"/>
      <c r="V70" s="268"/>
      <c r="W70" s="268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8" ref="G75:G87">F75-E75</f>
        <v>35.57</v>
      </c>
      <c r="H75" s="186"/>
      <c r="I75" s="187">
        <f aca="true" t="shared" si="19" ref="I75:I87">F75-D75</f>
        <v>35.57</v>
      </c>
      <c r="J75" s="187"/>
      <c r="K75" s="187">
        <v>0</v>
      </c>
      <c r="L75" s="187">
        <f aca="true" t="shared" si="20" ref="L75:L87">F75-K75</f>
        <v>35.57</v>
      </c>
      <c r="M75" s="187"/>
      <c r="N75" s="186">
        <f>E75-лютий!E72</f>
        <v>0</v>
      </c>
      <c r="O75" s="294">
        <f>F75-лютий!F72</f>
        <v>8.91</v>
      </c>
      <c r="P75" s="187">
        <f aca="true" t="shared" si="21" ref="P75:P89">O75-N75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 t="shared" si="18"/>
        <v>0.11</v>
      </c>
      <c r="H76" s="164"/>
      <c r="I76" s="167">
        <f t="shared" si="19"/>
        <v>-104205.92</v>
      </c>
      <c r="J76" s="167">
        <f>F76/D76*100</f>
        <v>0.00010556011010111412</v>
      </c>
      <c r="K76" s="167">
        <v>0.15</v>
      </c>
      <c r="L76" s="167">
        <f t="shared" si="20"/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 t="shared" si="21"/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 t="shared" si="18"/>
        <v>-4662.8</v>
      </c>
      <c r="H77" s="164">
        <f>F77/E77*100</f>
        <v>3.461697722567288</v>
      </c>
      <c r="I77" s="167">
        <f t="shared" si="19"/>
        <v>-53832.8</v>
      </c>
      <c r="J77" s="167">
        <f>F77/D77*100</f>
        <v>0.30962962962962964</v>
      </c>
      <c r="K77" s="167">
        <v>318.64</v>
      </c>
      <c r="L77" s="167">
        <f t="shared" si="20"/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 t="shared" si="21"/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 t="shared" si="18"/>
        <v>-3435.76</v>
      </c>
      <c r="H78" s="164">
        <f>F78/E78*100</f>
        <v>26.112688172043008</v>
      </c>
      <c r="I78" s="167">
        <f t="shared" si="19"/>
        <v>-77785.76</v>
      </c>
      <c r="J78" s="167">
        <f>F78/D78*100</f>
        <v>1.5370126582278483</v>
      </c>
      <c r="K78" s="167">
        <v>7957.09</v>
      </c>
      <c r="L78" s="167">
        <f t="shared" si="20"/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 t="shared" si="21"/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 t="shared" si="18"/>
        <v>0</v>
      </c>
      <c r="H79" s="164">
        <f>F79/E79*100</f>
        <v>100</v>
      </c>
      <c r="I79" s="167">
        <f t="shared" si="19"/>
        <v>-9</v>
      </c>
      <c r="J79" s="167">
        <f>F79/D79*100</f>
        <v>25</v>
      </c>
      <c r="K79" s="167">
        <v>3</v>
      </c>
      <c r="L79" s="167">
        <f t="shared" si="20"/>
        <v>0</v>
      </c>
      <c r="M79" s="209"/>
      <c r="N79" s="164">
        <f>E79-лютий!E76</f>
        <v>1</v>
      </c>
      <c r="O79" s="168">
        <f>F79-лютий!F76</f>
        <v>1</v>
      </c>
      <c r="P79" s="167">
        <f t="shared" si="21"/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 t="shared" si="18"/>
        <v>-8098.45</v>
      </c>
      <c r="H80" s="186">
        <f>F80/E80*100</f>
        <v>14.60033744595592</v>
      </c>
      <c r="I80" s="187">
        <f t="shared" si="19"/>
        <v>-235833.48</v>
      </c>
      <c r="J80" s="187">
        <f>F80/D80*100</f>
        <v>0.5836613684044167</v>
      </c>
      <c r="K80" s="187">
        <v>8278.87</v>
      </c>
      <c r="L80" s="187">
        <f t="shared" si="20"/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 t="shared" si="21"/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 t="shared" si="18"/>
        <v>8.28</v>
      </c>
      <c r="H81" s="164"/>
      <c r="I81" s="167">
        <f t="shared" si="19"/>
        <v>-31.22</v>
      </c>
      <c r="J81" s="167"/>
      <c r="K81" s="167">
        <v>0.44</v>
      </c>
      <c r="L81" s="167">
        <f t="shared" si="20"/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 t="shared" si="21"/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8"/>
        <v>0</v>
      </c>
      <c r="H82" s="164"/>
      <c r="I82" s="167">
        <f t="shared" si="19"/>
        <v>0</v>
      </c>
      <c r="J82" s="190"/>
      <c r="K82" s="167">
        <v>0</v>
      </c>
      <c r="L82" s="167">
        <f t="shared" si="20"/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 t="shared" si="21"/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 t="shared" si="18"/>
        <v>-138.35000000000036</v>
      </c>
      <c r="H83" s="164">
        <f>F83/E83*100</f>
        <v>94.12850655689002</v>
      </c>
      <c r="I83" s="167">
        <f t="shared" si="19"/>
        <v>-6142.05</v>
      </c>
      <c r="J83" s="167">
        <f>F83/D83*100</f>
        <v>26.530502392344495</v>
      </c>
      <c r="K83" s="167">
        <v>2019</v>
      </c>
      <c r="L83" s="167">
        <f t="shared" si="20"/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5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8"/>
        <v>0.03</v>
      </c>
      <c r="H84" s="164"/>
      <c r="I84" s="167">
        <f t="shared" si="19"/>
        <v>0.03</v>
      </c>
      <c r="J84" s="167"/>
      <c r="K84" s="167">
        <v>0.4</v>
      </c>
      <c r="L84" s="167">
        <f t="shared" si="20"/>
        <v>-0.37</v>
      </c>
      <c r="M84" s="209">
        <f aca="true" t="shared" si="22" ref="M84:M89">F84/K84</f>
        <v>0.075</v>
      </c>
      <c r="N84" s="164">
        <f>E84-лютий!E81</f>
        <v>0</v>
      </c>
      <c r="O84" s="168">
        <f>F84-лютий!F81</f>
        <v>0</v>
      </c>
      <c r="P84" s="167">
        <f t="shared" si="21"/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 t="shared" si="19"/>
        <v>-6173.24</v>
      </c>
      <c r="J85" s="187">
        <f>F85/D85*100</f>
        <v>26.509047619047614</v>
      </c>
      <c r="K85" s="187">
        <v>2019.85</v>
      </c>
      <c r="L85" s="187">
        <f t="shared" si="20"/>
        <v>206.90999999999985</v>
      </c>
      <c r="M85" s="220">
        <f t="shared" si="22"/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 t="shared" si="18"/>
        <v>-5.78</v>
      </c>
      <c r="H86" s="164">
        <f>F86/E86*100</f>
        <v>55.19379844961241</v>
      </c>
      <c r="I86" s="167">
        <f t="shared" si="19"/>
        <v>-30.88</v>
      </c>
      <c r="J86" s="167">
        <f>F86/D86*100</f>
        <v>18.736842105263158</v>
      </c>
      <c r="K86" s="167">
        <v>9.19</v>
      </c>
      <c r="L86" s="167">
        <f t="shared" si="20"/>
        <v>-2.0699999999999994</v>
      </c>
      <c r="M86" s="209">
        <f t="shared" si="22"/>
        <v>0.7747551686615888</v>
      </c>
      <c r="N86" s="164">
        <f>E86-лютий!E83</f>
        <v>8</v>
      </c>
      <c r="O86" s="168">
        <f>F86-лютий!F83</f>
        <v>6.16</v>
      </c>
      <c r="P86" s="167">
        <f t="shared" si="21"/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 t="shared" si="18"/>
        <v>0</v>
      </c>
      <c r="H87" s="164"/>
      <c r="I87" s="167">
        <f t="shared" si="19"/>
        <v>0</v>
      </c>
      <c r="J87" s="167"/>
      <c r="K87" s="167">
        <v>0</v>
      </c>
      <c r="L87" s="167">
        <f t="shared" si="20"/>
        <v>0</v>
      </c>
      <c r="M87" s="167"/>
      <c r="N87" s="164">
        <f>E87-лютий!E84</f>
        <v>0</v>
      </c>
      <c r="O87" s="168">
        <f>F87-лютий!F84</f>
        <v>0</v>
      </c>
      <c r="P87" s="167">
        <f t="shared" si="21"/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 t="shared" si="22"/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 t="shared" si="21"/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190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 t="shared" si="22"/>
        <v>1.348001905938734</v>
      </c>
      <c r="N89" s="192">
        <f>N67+N88</f>
        <v>110300.6</v>
      </c>
      <c r="O89" s="192">
        <f>O67+O88</f>
        <v>104149.96999999997</v>
      </c>
      <c r="P89" s="194">
        <f t="shared" si="21"/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14"/>
      <c r="H92" s="314"/>
      <c r="I92" s="314"/>
      <c r="J92" s="314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03"/>
      <c r="P93" s="303"/>
    </row>
    <row r="94" spans="3:16" ht="15">
      <c r="C94" s="81">
        <v>42824</v>
      </c>
      <c r="D94" s="29">
        <v>11112.7</v>
      </c>
      <c r="F94" s="113" t="s">
        <v>58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42823</v>
      </c>
      <c r="D95" s="29">
        <v>8830.3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1399.2856000000002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89" t="s">
        <v>203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91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 aca="true" t="shared" si="23" ref="K103:P103">K43+K44+K46+K48+K50+K51+K52+K53+K54+K60+K64+K47</f>
        <v>10575.08</v>
      </c>
      <c r="L103" s="29">
        <f t="shared" si="23"/>
        <v>3481.9100000000008</v>
      </c>
      <c r="M103" s="29">
        <f t="shared" si="23"/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 t="shared" si="23"/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 aca="true" t="shared" si="24" ref="G104:P104">SUM(G102:G103)</f>
        <v>577.429999999956</v>
      </c>
      <c r="H104" s="230">
        <f>F104/E104</f>
        <v>1.0018643869503991</v>
      </c>
      <c r="I104" s="29">
        <f t="shared" si="24"/>
        <v>-1050056.77</v>
      </c>
      <c r="J104" s="230">
        <f>F104/D104</f>
        <v>0.22646851975677773</v>
      </c>
      <c r="K104" s="29">
        <f t="shared" si="24"/>
        <v>10575.08</v>
      </c>
      <c r="L104" s="29">
        <f t="shared" si="24"/>
        <v>3481.9100000000008</v>
      </c>
      <c r="M104" s="29">
        <f t="shared" si="24"/>
        <v>23.879531548202163</v>
      </c>
      <c r="N104" s="29">
        <f t="shared" si="24"/>
        <v>102834.8</v>
      </c>
      <c r="O104" s="229">
        <f t="shared" si="24"/>
        <v>103902.62999999998</v>
      </c>
      <c r="P104" s="29">
        <f t="shared" si="24"/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 aca="true" t="shared" si="25" ref="E105:T105">E67-E104</f>
        <v>0</v>
      </c>
      <c r="F105" s="29">
        <f t="shared" si="25"/>
        <v>0</v>
      </c>
      <c r="G105" s="29">
        <f t="shared" si="25"/>
        <v>-5.330000000037444</v>
      </c>
      <c r="H105" s="230"/>
      <c r="I105" s="29">
        <f t="shared" si="25"/>
        <v>-5.330000000074506</v>
      </c>
      <c r="J105" s="230"/>
      <c r="K105" s="29">
        <f t="shared" si="25"/>
        <v>209890.7</v>
      </c>
      <c r="L105" s="29">
        <f t="shared" si="25"/>
        <v>83481.30999999994</v>
      </c>
      <c r="M105" s="29">
        <f t="shared" si="25"/>
        <v>-22.48507931166913</v>
      </c>
      <c r="N105" s="29">
        <f t="shared" si="25"/>
        <v>0</v>
      </c>
      <c r="O105" s="29">
        <f t="shared" si="25"/>
        <v>0</v>
      </c>
      <c r="P105" s="29">
        <f t="shared" si="25"/>
        <v>0</v>
      </c>
      <c r="Q105" s="29"/>
      <c r="R105" s="29">
        <f t="shared" si="25"/>
        <v>69134.62999999998</v>
      </c>
      <c r="S105" s="29">
        <f t="shared" si="25"/>
        <v>2.988455763920846</v>
      </c>
      <c r="T105" s="29">
        <f t="shared" si="25"/>
        <v>89561.4</v>
      </c>
    </row>
    <row r="106" ht="15" hidden="1">
      <c r="E106" s="4" t="s">
        <v>58</v>
      </c>
    </row>
    <row r="107" spans="2:5" ht="15" hidden="1">
      <c r="B107" s="250" t="s">
        <v>173</v>
      </c>
      <c r="E107" s="29">
        <f>E67-E9-E20-E29-E35</f>
        <v>19583.200000000026</v>
      </c>
    </row>
    <row r="108" spans="2:5" ht="15" hidden="1">
      <c r="B108" s="250" t="s">
        <v>174</v>
      </c>
      <c r="E108" s="29">
        <f>E88-E83-E76-E77</f>
        <v>4666.399999999998</v>
      </c>
    </row>
    <row r="109" ht="15" hidden="1"/>
    <row r="110" spans="2:23" ht="18" hidden="1">
      <c r="B110" s="122" t="s">
        <v>165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73"/>
      <c r="N110" s="271"/>
      <c r="O110" s="271"/>
      <c r="P110" s="272"/>
      <c r="Q110" s="272"/>
      <c r="R110" s="275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74">
        <f>F111/K111</f>
        <v>7.864918565596555</v>
      </c>
      <c r="N111" s="277"/>
      <c r="O111" s="277"/>
      <c r="P111" s="278"/>
      <c r="Q111" s="278"/>
      <c r="R111" s="276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189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74">
        <f>F112/K112</f>
        <v>1.4171022100582904</v>
      </c>
      <c r="N112" s="279"/>
      <c r="O112" s="279"/>
      <c r="P112" s="278"/>
      <c r="Q112" s="278"/>
      <c r="R112" s="276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191</v>
      </c>
      <c r="C113" s="239">
        <v>40000000</v>
      </c>
      <c r="D113" s="248">
        <f aca="true" t="shared" si="26" ref="D113:F114">D114</f>
        <v>1222868.6900000002</v>
      </c>
      <c r="E113" s="248">
        <f t="shared" si="26"/>
        <v>550655.6</v>
      </c>
      <c r="F113" s="248">
        <f t="shared" si="26"/>
        <v>545829.08</v>
      </c>
      <c r="G113" s="248">
        <f aca="true" t="shared" si="27" ref="G113:G124">F113-E113</f>
        <v>-4826.520000000019</v>
      </c>
      <c r="H113" s="248">
        <f>F113/E113*100</f>
        <v>99.12349570221387</v>
      </c>
      <c r="I113" s="36">
        <f aca="true" t="shared" si="28" ref="I113:I124">F113-D113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156</v>
      </c>
      <c r="C114" s="239">
        <v>41000000</v>
      </c>
      <c r="D114" s="248">
        <f t="shared" si="26"/>
        <v>1222868.6900000002</v>
      </c>
      <c r="E114" s="248">
        <f t="shared" si="26"/>
        <v>550655.6</v>
      </c>
      <c r="F114" s="248">
        <f t="shared" si="26"/>
        <v>545829.08</v>
      </c>
      <c r="G114" s="248">
        <f t="shared" si="27"/>
        <v>-4826.520000000019</v>
      </c>
      <c r="H114" s="248">
        <f aca="true" t="shared" si="29" ref="H114:H124">IF(E114=0,0,F114/E114*100)</f>
        <v>99.12349570221387</v>
      </c>
      <c r="I114" s="36">
        <f t="shared" si="28"/>
        <v>-677039.6100000002</v>
      </c>
      <c r="J114" s="36">
        <f aca="true" t="shared" si="30" ref="J114:J124">F114/D114*100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157</v>
      </c>
      <c r="C115" s="239">
        <v>41030000</v>
      </c>
      <c r="D115" s="248">
        <f>SUM(D116:D123)</f>
        <v>1222868.6900000002</v>
      </c>
      <c r="E115" s="248">
        <f>SUM(E116:E123)</f>
        <v>550655.6</v>
      </c>
      <c r="F115" s="248">
        <f>SUM(F116:F123)</f>
        <v>545829.08</v>
      </c>
      <c r="G115" s="248">
        <f t="shared" si="27"/>
        <v>-4826.520000000019</v>
      </c>
      <c r="H115" s="248">
        <f t="shared" si="29"/>
        <v>99.12349570221387</v>
      </c>
      <c r="I115" s="36">
        <f t="shared" si="28"/>
        <v>-677039.6100000002</v>
      </c>
      <c r="J115" s="36">
        <f t="shared" si="30"/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185</v>
      </c>
      <c r="C116" s="239">
        <v>41030600</v>
      </c>
      <c r="D116" s="248">
        <v>311813.4</v>
      </c>
      <c r="E116" s="248">
        <v>74842.5</v>
      </c>
      <c r="F116" s="248">
        <v>71108.47</v>
      </c>
      <c r="G116" s="248">
        <f t="shared" si="27"/>
        <v>-3734.029999999999</v>
      </c>
      <c r="H116" s="248">
        <f t="shared" si="29"/>
        <v>95.0108160470321</v>
      </c>
      <c r="I116" s="36">
        <f t="shared" si="28"/>
        <v>-240704.93000000002</v>
      </c>
      <c r="J116" s="36">
        <f t="shared" si="30"/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167</v>
      </c>
      <c r="C117" s="239">
        <v>41030800</v>
      </c>
      <c r="D117" s="248">
        <v>408648.2</v>
      </c>
      <c r="E117" s="248">
        <v>354918.91</v>
      </c>
      <c r="F117" s="248">
        <v>354211.24</v>
      </c>
      <c r="G117" s="248">
        <f t="shared" si="27"/>
        <v>-707.6699999999837</v>
      </c>
      <c r="H117" s="248">
        <f t="shared" si="29"/>
        <v>99.80061079304002</v>
      </c>
      <c r="I117" s="36">
        <f t="shared" si="28"/>
        <v>-54436.96000000002</v>
      </c>
      <c r="J117" s="36">
        <f t="shared" si="30"/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186</v>
      </c>
      <c r="C118" s="239">
        <v>41031000</v>
      </c>
      <c r="D118" s="248">
        <v>227.7</v>
      </c>
      <c r="E118" s="248">
        <v>57</v>
      </c>
      <c r="F118" s="248">
        <v>40.84</v>
      </c>
      <c r="G118" s="248">
        <f t="shared" si="27"/>
        <v>-16.159999999999997</v>
      </c>
      <c r="H118" s="248">
        <f t="shared" si="29"/>
        <v>71.64912280701755</v>
      </c>
      <c r="I118" s="36">
        <f t="shared" si="28"/>
        <v>-186.85999999999999</v>
      </c>
      <c r="J118" s="36">
        <f t="shared" si="30"/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168</v>
      </c>
      <c r="C119" s="239">
        <v>41033900</v>
      </c>
      <c r="D119" s="248">
        <v>243334.5</v>
      </c>
      <c r="E119" s="248">
        <v>56191.6</v>
      </c>
      <c r="F119" s="248">
        <v>56191.6</v>
      </c>
      <c r="G119" s="248">
        <f t="shared" si="27"/>
        <v>0</v>
      </c>
      <c r="H119" s="248">
        <f t="shared" si="29"/>
        <v>100</v>
      </c>
      <c r="I119" s="36">
        <f t="shared" si="28"/>
        <v>-187142.9</v>
      </c>
      <c r="J119" s="36">
        <f t="shared" si="30"/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169</v>
      </c>
      <c r="C120" s="239">
        <v>41034200</v>
      </c>
      <c r="D120" s="248">
        <v>238249.5</v>
      </c>
      <c r="E120" s="248">
        <v>59541.9</v>
      </c>
      <c r="F120" s="248">
        <v>59541.9</v>
      </c>
      <c r="G120" s="248">
        <f t="shared" si="27"/>
        <v>0</v>
      </c>
      <c r="H120" s="248">
        <f t="shared" si="29"/>
        <v>100</v>
      </c>
      <c r="I120" s="36">
        <f t="shared" si="28"/>
        <v>-178707.6</v>
      </c>
      <c r="J120" s="36">
        <f t="shared" si="30"/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163</v>
      </c>
      <c r="C121" s="239">
        <v>41035000</v>
      </c>
      <c r="D121" s="248">
        <v>16239.09</v>
      </c>
      <c r="E121" s="248">
        <v>4193.79</v>
      </c>
      <c r="F121" s="248">
        <v>3733.65</v>
      </c>
      <c r="G121" s="248">
        <f t="shared" si="27"/>
        <v>-460.1399999999999</v>
      </c>
      <c r="H121" s="248">
        <f t="shared" si="29"/>
        <v>89.02806292160552</v>
      </c>
      <c r="I121" s="36">
        <f t="shared" si="28"/>
        <v>-12505.44</v>
      </c>
      <c r="J121" s="36">
        <f t="shared" si="30"/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188</v>
      </c>
      <c r="C122" s="239">
        <v>41035400</v>
      </c>
      <c r="D122" s="248">
        <v>0</v>
      </c>
      <c r="E122" s="248">
        <v>0</v>
      </c>
      <c r="F122" s="248">
        <v>165.7</v>
      </c>
      <c r="G122" s="248">
        <f t="shared" si="27"/>
        <v>165.7</v>
      </c>
      <c r="H122" s="248">
        <f t="shared" si="29"/>
        <v>0</v>
      </c>
      <c r="I122" s="36">
        <f t="shared" si="28"/>
        <v>165.7</v>
      </c>
      <c r="J122" s="36" t="e">
        <f t="shared" si="30"/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187</v>
      </c>
      <c r="C123" s="239">
        <v>41035800</v>
      </c>
      <c r="D123" s="248">
        <v>4356.3</v>
      </c>
      <c r="E123" s="248">
        <v>909.9</v>
      </c>
      <c r="F123" s="248">
        <v>835.68</v>
      </c>
      <c r="G123" s="248">
        <f t="shared" si="27"/>
        <v>-74.22000000000003</v>
      </c>
      <c r="H123" s="248">
        <f t="shared" si="29"/>
        <v>91.84305967688756</v>
      </c>
      <c r="I123" s="36">
        <f t="shared" si="28"/>
        <v>-3520.6200000000003</v>
      </c>
      <c r="J123" s="36">
        <f t="shared" si="30"/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80" t="s">
        <v>166</v>
      </c>
      <c r="C124" s="281"/>
      <c r="D124" s="282">
        <f>D112+D113</f>
        <v>2898424.04</v>
      </c>
      <c r="E124" s="282">
        <f>E112+E113</f>
        <v>887467.26</v>
      </c>
      <c r="F124" s="282">
        <f>F112+F113</f>
        <v>877166.4099999999</v>
      </c>
      <c r="G124" s="283">
        <f t="shared" si="27"/>
        <v>-10300.850000000093</v>
      </c>
      <c r="H124" s="282">
        <f t="shared" si="29"/>
        <v>98.83929802661113</v>
      </c>
      <c r="I124" s="284">
        <f t="shared" si="28"/>
        <v>-2021257.6300000001</v>
      </c>
      <c r="J124" s="284">
        <f t="shared" si="30"/>
        <v>30.263563850374354</v>
      </c>
      <c r="Q124" s="244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21" t="s">
        <v>152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86"/>
      <c r="S1" s="87"/>
    </row>
    <row r="2" spans="2:19" s="1" customFormat="1" ht="15.75" customHeight="1">
      <c r="B2" s="322"/>
      <c r="C2" s="322"/>
      <c r="D2" s="322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3"/>
      <c r="B3" s="325"/>
      <c r="C3" s="326" t="s">
        <v>0</v>
      </c>
      <c r="D3" s="327" t="s">
        <v>151</v>
      </c>
      <c r="E3" s="32"/>
      <c r="F3" s="328" t="s">
        <v>26</v>
      </c>
      <c r="G3" s="329"/>
      <c r="H3" s="329"/>
      <c r="I3" s="329"/>
      <c r="J3" s="330"/>
      <c r="K3" s="83"/>
      <c r="L3" s="83"/>
      <c r="M3" s="83"/>
      <c r="N3" s="331" t="s">
        <v>145</v>
      </c>
      <c r="O3" s="332" t="s">
        <v>149</v>
      </c>
      <c r="P3" s="332"/>
      <c r="Q3" s="332"/>
      <c r="R3" s="332"/>
      <c r="S3" s="332"/>
    </row>
    <row r="4" spans="1:19" ht="22.5" customHeight="1">
      <c r="A4" s="323"/>
      <c r="B4" s="325"/>
      <c r="C4" s="326"/>
      <c r="D4" s="327"/>
      <c r="E4" s="333" t="s">
        <v>150</v>
      </c>
      <c r="F4" s="315" t="s">
        <v>33</v>
      </c>
      <c r="G4" s="305" t="s">
        <v>146</v>
      </c>
      <c r="H4" s="317" t="s">
        <v>147</v>
      </c>
      <c r="I4" s="305" t="s">
        <v>138</v>
      </c>
      <c r="J4" s="317" t="s">
        <v>139</v>
      </c>
      <c r="K4" s="85" t="s">
        <v>141</v>
      </c>
      <c r="L4" s="204" t="s">
        <v>113</v>
      </c>
      <c r="M4" s="90" t="s">
        <v>63</v>
      </c>
      <c r="N4" s="317"/>
      <c r="O4" s="319" t="s">
        <v>153</v>
      </c>
      <c r="P4" s="305" t="s">
        <v>49</v>
      </c>
      <c r="Q4" s="307" t="s">
        <v>48</v>
      </c>
      <c r="R4" s="91" t="s">
        <v>64</v>
      </c>
      <c r="S4" s="92" t="s">
        <v>63</v>
      </c>
    </row>
    <row r="5" spans="1:19" ht="67.5" customHeight="1">
      <c r="A5" s="324"/>
      <c r="B5" s="325"/>
      <c r="C5" s="326"/>
      <c r="D5" s="327"/>
      <c r="E5" s="334"/>
      <c r="F5" s="316"/>
      <c r="G5" s="306"/>
      <c r="H5" s="318"/>
      <c r="I5" s="306"/>
      <c r="J5" s="318"/>
      <c r="K5" s="308" t="s">
        <v>148</v>
      </c>
      <c r="L5" s="309"/>
      <c r="M5" s="310"/>
      <c r="N5" s="318"/>
      <c r="O5" s="320"/>
      <c r="P5" s="306"/>
      <c r="Q5" s="307"/>
      <c r="R5" s="308" t="s">
        <v>102</v>
      </c>
      <c r="S5" s="31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 aca="true" t="shared" si="0" ref="G8:G37">F8-E8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 aca="true" t="shared" si="1" ref="L8:L51">F8-K8</f>
        <v>54408.45000000004</v>
      </c>
      <c r="M8" s="205">
        <f aca="true" t="shared" si="2" ref="M8:M28">F8/K8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 t="shared" si="0"/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 t="shared" si="1"/>
        <v>31561.339999999997</v>
      </c>
      <c r="M9" s="206">
        <f t="shared" si="2"/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 t="shared" si="0"/>
        <v>378.6399999999994</v>
      </c>
      <c r="H10" s="30">
        <f aca="true" t="shared" si="3" ref="H10:H36">F10/E10*100</f>
        <v>100.4100142937584</v>
      </c>
      <c r="I10" s="104">
        <f aca="true" t="shared" si="4" ref="I10:I37">F10-D10</f>
        <v>-608590.36</v>
      </c>
      <c r="J10" s="104">
        <f aca="true" t="shared" si="5" ref="J10:J36">F10/D10*100</f>
        <v>13.22178700929822</v>
      </c>
      <c r="K10" s="106">
        <v>62213.95</v>
      </c>
      <c r="L10" s="106">
        <f t="shared" si="1"/>
        <v>30512.690000000002</v>
      </c>
      <c r="M10" s="207">
        <f t="shared" si="2"/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 aca="true" t="shared" si="6" ref="P10:P37">O10-N10</f>
        <v>519.7099999999991</v>
      </c>
      <c r="Q10" s="104">
        <f aca="true" t="shared" si="7" ref="Q10:Q18">O10/N10*100</f>
        <v>101.05924914397522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 t="shared" si="0"/>
        <v>-1304.7399999999998</v>
      </c>
      <c r="H11" s="30">
        <f t="shared" si="3"/>
        <v>81.87861111111111</v>
      </c>
      <c r="I11" s="104">
        <f t="shared" si="4"/>
        <v>-40610.74</v>
      </c>
      <c r="J11" s="104">
        <f t="shared" si="5"/>
        <v>12.676342837483338</v>
      </c>
      <c r="K11" s="106">
        <v>5319.16</v>
      </c>
      <c r="L11" s="106">
        <f t="shared" si="1"/>
        <v>576.1000000000004</v>
      </c>
      <c r="M11" s="207">
        <f t="shared" si="2"/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 t="shared" si="6"/>
        <v>-386.4399999999996</v>
      </c>
      <c r="Q11" s="104">
        <f t="shared" si="7"/>
        <v>89.26555555555557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 t="shared" si="0"/>
        <v>197.42000000000007</v>
      </c>
      <c r="H12" s="30">
        <f t="shared" si="3"/>
        <v>123.50238095238095</v>
      </c>
      <c r="I12" s="104">
        <f t="shared" si="4"/>
        <v>-7242.58</v>
      </c>
      <c r="J12" s="104">
        <f t="shared" si="5"/>
        <v>12.529227053140096</v>
      </c>
      <c r="K12" s="106">
        <v>822.03</v>
      </c>
      <c r="L12" s="106">
        <f t="shared" si="1"/>
        <v>215.3900000000001</v>
      </c>
      <c r="M12" s="207">
        <f t="shared" si="2"/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 t="shared" si="6"/>
        <v>116.99000000000001</v>
      </c>
      <c r="Q12" s="104">
        <f t="shared" si="7"/>
        <v>127.8547619047619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 t="shared" si="0"/>
        <v>408.31999999999994</v>
      </c>
      <c r="H13" s="30">
        <f t="shared" si="3"/>
        <v>125.20493827160493</v>
      </c>
      <c r="I13" s="104">
        <f t="shared" si="4"/>
        <v>-7361.68</v>
      </c>
      <c r="J13" s="104">
        <f t="shared" si="5"/>
        <v>21.600851970181044</v>
      </c>
      <c r="K13" s="106">
        <v>1514.49</v>
      </c>
      <c r="L13" s="106">
        <f t="shared" si="1"/>
        <v>513.8299999999999</v>
      </c>
      <c r="M13" s="207">
        <f t="shared" si="2"/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 t="shared" si="6"/>
        <v>208.96000000000004</v>
      </c>
      <c r="Q13" s="104">
        <f t="shared" si="7"/>
        <v>115.83030303030304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 t="shared" si="0"/>
        <v>-37.09</v>
      </c>
      <c r="H15" s="157">
        <f>F15/E15*100</f>
        <v>27.27450980392157</v>
      </c>
      <c r="I15" s="158">
        <f t="shared" si="4"/>
        <v>-537.09</v>
      </c>
      <c r="J15" s="158">
        <f t="shared" si="5"/>
        <v>2.5245009074410163</v>
      </c>
      <c r="K15" s="161">
        <v>85.14</v>
      </c>
      <c r="L15" s="161">
        <f t="shared" si="1"/>
        <v>-71.23</v>
      </c>
      <c r="M15" s="208">
        <f t="shared" si="2"/>
        <v>0.1633779657035471</v>
      </c>
      <c r="N15" s="137">
        <f>E15-'січень 17'!E15</f>
        <v>51</v>
      </c>
      <c r="O15" s="145">
        <f>F15-'січень 17'!F15</f>
        <v>13.91</v>
      </c>
      <c r="P15" s="161">
        <f t="shared" si="6"/>
        <v>-37.09</v>
      </c>
      <c r="Q15" s="158">
        <f t="shared" si="7"/>
        <v>27.27450980392157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 t="shared" si="0"/>
        <v>-4294.09</v>
      </c>
      <c r="H19" s="157">
        <f t="shared" si="3"/>
        <v>76.14394444444444</v>
      </c>
      <c r="I19" s="158">
        <f t="shared" si="4"/>
        <v>-116294.09</v>
      </c>
      <c r="J19" s="158">
        <f t="shared" si="5"/>
        <v>10.543007692307691</v>
      </c>
      <c r="K19" s="169">
        <v>10861</v>
      </c>
      <c r="L19" s="161">
        <f t="shared" si="1"/>
        <v>2844.91</v>
      </c>
      <c r="M19" s="213">
        <f t="shared" si="2"/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 t="shared" si="6"/>
        <v>-4345.84</v>
      </c>
      <c r="Q19" s="158">
        <f aca="true" t="shared" si="9" ref="Q19:Q24">O19/N19*100</f>
        <v>47.640481927710844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 t="shared" si="0"/>
        <v>3182.75</v>
      </c>
      <c r="H20" s="157">
        <f t="shared" si="3"/>
        <v>104.19199336182655</v>
      </c>
      <c r="I20" s="158">
        <f t="shared" si="4"/>
        <v>-322022.85</v>
      </c>
      <c r="J20" s="158">
        <f t="shared" si="5"/>
        <v>19.721095475009232</v>
      </c>
      <c r="K20" s="158">
        <v>59046.44</v>
      </c>
      <c r="L20" s="161">
        <f t="shared" si="1"/>
        <v>20060.809999999998</v>
      </c>
      <c r="M20" s="209">
        <f t="shared" si="2"/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 t="shared" si="6"/>
        <v>2969.959999999999</v>
      </c>
      <c r="Q20" s="158">
        <f t="shared" si="9"/>
        <v>107.62368765562029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 t="shared" si="0"/>
        <v>-625.75</v>
      </c>
      <c r="H21" s="157">
        <f t="shared" si="3"/>
        <v>98.04945637265904</v>
      </c>
      <c r="I21" s="158">
        <f t="shared" si="4"/>
        <v>-175165.95</v>
      </c>
      <c r="J21" s="158">
        <f t="shared" si="5"/>
        <v>15.22354939720551</v>
      </c>
      <c r="K21" s="158">
        <v>25484.06</v>
      </c>
      <c r="L21" s="161">
        <f t="shared" si="1"/>
        <v>5970.989999999998</v>
      </c>
      <c r="M21" s="209">
        <f t="shared" si="2"/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 t="shared" si="6"/>
        <v>-400.22999999999956</v>
      </c>
      <c r="Q21" s="158">
        <f t="shared" si="9"/>
        <v>97.39008803390936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 t="shared" si="0"/>
        <v>33.210000000000036</v>
      </c>
      <c r="H22" s="173">
        <f t="shared" si="3"/>
        <v>100.75908571428572</v>
      </c>
      <c r="I22" s="174">
        <f t="shared" si="4"/>
        <v>-18400.79</v>
      </c>
      <c r="J22" s="174">
        <f t="shared" si="5"/>
        <v>19.326625454864306</v>
      </c>
      <c r="K22" s="175">
        <v>3552.77</v>
      </c>
      <c r="L22" s="166">
        <f t="shared" si="1"/>
        <v>855.44</v>
      </c>
      <c r="M22" s="215">
        <f t="shared" si="2"/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 t="shared" si="6"/>
        <v>363.5999999999999</v>
      </c>
      <c r="Q22" s="174">
        <f t="shared" si="9"/>
        <v>261.59999999999997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 t="shared" si="0"/>
        <v>-44.77000000000001</v>
      </c>
      <c r="H23" s="199">
        <f t="shared" si="3"/>
        <v>77.04102564102564</v>
      </c>
      <c r="I23" s="200">
        <f t="shared" si="4"/>
        <v>-1672.07</v>
      </c>
      <c r="J23" s="200">
        <f t="shared" si="5"/>
        <v>8.243977391208912</v>
      </c>
      <c r="K23" s="200">
        <v>146.88</v>
      </c>
      <c r="L23" s="200">
        <f t="shared" si="1"/>
        <v>3.3499999999999943</v>
      </c>
      <c r="M23" s="228">
        <f t="shared" si="2"/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 t="shared" si="6"/>
        <v>-25.140000000000015</v>
      </c>
      <c r="Q23" s="200">
        <f t="shared" si="9"/>
        <v>54.29090909090907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 t="shared" si="0"/>
        <v>77.97999999999956</v>
      </c>
      <c r="H24" s="199">
        <f t="shared" si="3"/>
        <v>101.86555023923445</v>
      </c>
      <c r="I24" s="200">
        <f t="shared" si="4"/>
        <v>-16728.72</v>
      </c>
      <c r="J24" s="200">
        <f t="shared" si="5"/>
        <v>20.288944903200594</v>
      </c>
      <c r="K24" s="200">
        <v>3405.89</v>
      </c>
      <c r="L24" s="200">
        <f t="shared" si="1"/>
        <v>852.0899999999997</v>
      </c>
      <c r="M24" s="228">
        <f t="shared" si="2"/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 t="shared" si="6"/>
        <v>388.7399999999998</v>
      </c>
      <c r="Q24" s="200">
        <f t="shared" si="9"/>
        <v>328.670588235294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 t="shared" si="0"/>
        <v>28.370000000000005</v>
      </c>
      <c r="H25" s="173">
        <f t="shared" si="3"/>
        <v>155.8464566929134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 t="shared" si="6"/>
        <v>22.090000000000003</v>
      </c>
      <c r="Q25" s="174">
        <f>O25/N25*100</f>
        <v>541.8000000000001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 t="shared" si="0"/>
        <v>-687.3300000000017</v>
      </c>
      <c r="H26" s="173">
        <f t="shared" si="3"/>
        <v>97.51462664979208</v>
      </c>
      <c r="I26" s="174">
        <f t="shared" si="4"/>
        <v>-156024.33000000002</v>
      </c>
      <c r="J26" s="174">
        <f t="shared" si="5"/>
        <v>14.73707593774591</v>
      </c>
      <c r="K26" s="175">
        <v>21757.07</v>
      </c>
      <c r="L26" s="175">
        <f t="shared" si="1"/>
        <v>5210.5999999999985</v>
      </c>
      <c r="M26" s="211">
        <f t="shared" si="2"/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 t="shared" si="6"/>
        <v>-785.9200000000019</v>
      </c>
      <c r="Q26" s="174">
        <f>O26/N26*100</f>
        <v>94.79695465077788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 t="shared" si="0"/>
        <v>679.2099999999991</v>
      </c>
      <c r="H27" s="199">
        <f t="shared" si="3"/>
        <v>108.30330073349631</v>
      </c>
      <c r="I27" s="200">
        <f t="shared" si="4"/>
        <v>-48673.79</v>
      </c>
      <c r="J27" s="200">
        <f t="shared" si="5"/>
        <v>15.398484348113255</v>
      </c>
      <c r="K27" s="200">
        <v>6708.33</v>
      </c>
      <c r="L27" s="200">
        <f t="shared" si="1"/>
        <v>2150.879999999999</v>
      </c>
      <c r="M27" s="228">
        <f t="shared" si="2"/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 t="shared" si="6"/>
        <v>409.34999999999854</v>
      </c>
      <c r="Q27" s="200">
        <f>O27/N27*100</f>
        <v>108.8032258064516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 t="shared" si="0"/>
        <v>-1366.5400000000009</v>
      </c>
      <c r="H28" s="199">
        <f t="shared" si="3"/>
        <v>92.98310654685493</v>
      </c>
      <c r="I28" s="200">
        <f t="shared" si="4"/>
        <v>-107350.54000000001</v>
      </c>
      <c r="J28" s="200">
        <f t="shared" si="5"/>
        <v>14.433767206816569</v>
      </c>
      <c r="K28" s="200">
        <v>15048.75</v>
      </c>
      <c r="L28" s="200">
        <f t="shared" si="1"/>
        <v>3059.709999999999</v>
      </c>
      <c r="M28" s="228">
        <f t="shared" si="2"/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 t="shared" si="6"/>
        <v>-1195.2700000000004</v>
      </c>
      <c r="Q28" s="200">
        <f>O28/N28*100</f>
        <v>88.56747967479674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 t="shared" si="0"/>
        <v>19.200000000000003</v>
      </c>
      <c r="H30" s="157">
        <f t="shared" si="3"/>
        <v>228.00000000000003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 t="shared" si="6"/>
        <v>9.14</v>
      </c>
      <c r="Q30" s="158">
        <f>O30/N30*100</f>
        <v>176.16666666666669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 t="shared" si="0"/>
        <v>-10.76</v>
      </c>
      <c r="H31" s="157"/>
      <c r="I31" s="158">
        <f t="shared" si="4"/>
        <v>-10.76</v>
      </c>
      <c r="J31" s="158"/>
      <c r="K31" s="158">
        <v>-52.93</v>
      </c>
      <c r="L31" s="158">
        <f t="shared" si="1"/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 t="shared" si="6"/>
        <v>-7.83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 t="shared" si="0"/>
        <v>3799.8600000000006</v>
      </c>
      <c r="H32" s="164">
        <f t="shared" si="3"/>
        <v>108.66979855665353</v>
      </c>
      <c r="I32" s="165">
        <f t="shared" si="4"/>
        <v>-146765.54</v>
      </c>
      <c r="J32" s="165">
        <f t="shared" si="5"/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 t="shared" si="6"/>
        <v>3368.880000000001</v>
      </c>
      <c r="Q32" s="165">
        <f>O32/N32*100</f>
        <v>114.26886912325287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10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 t="shared" si="0"/>
        <v>645.9500000000007</v>
      </c>
      <c r="H34" s="105">
        <f t="shared" si="3"/>
        <v>107.09055982436884</v>
      </c>
      <c r="I34" s="104">
        <f t="shared" si="4"/>
        <v>-31244.05</v>
      </c>
      <c r="J34" s="104">
        <f t="shared" si="5"/>
        <v>23.795</v>
      </c>
      <c r="K34" s="127">
        <v>8679.27</v>
      </c>
      <c r="L34" s="127">
        <f t="shared" si="1"/>
        <v>1076.6800000000003</v>
      </c>
      <c r="M34" s="216">
        <f t="shared" si="10"/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 t="shared" si="6"/>
        <v>560.9200000000001</v>
      </c>
      <c r="Q34" s="104">
        <f>O34/N34*100</f>
        <v>109.99857397504455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 t="shared" si="0"/>
        <v>3156.5</v>
      </c>
      <c r="H35" s="105">
        <f t="shared" si="3"/>
        <v>109.0965417867435</v>
      </c>
      <c r="I35" s="104">
        <f t="shared" si="4"/>
        <v>-115482.6</v>
      </c>
      <c r="J35" s="104">
        <f t="shared" si="5"/>
        <v>24.688093252145084</v>
      </c>
      <c r="K35" s="127">
        <v>24907.67</v>
      </c>
      <c r="L35" s="127">
        <f t="shared" si="1"/>
        <v>12948.830000000002</v>
      </c>
      <c r="M35" s="216">
        <f t="shared" si="10"/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 t="shared" si="6"/>
        <v>2807.959999999999</v>
      </c>
      <c r="Q35" s="104">
        <f>O35/N35*100</f>
        <v>115.59977777777777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10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10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 t="shared" si="1"/>
        <v>3775.189999999998</v>
      </c>
      <c r="M38" s="205">
        <f t="shared" si="10"/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10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1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2" ref="G40:G63">F40-E40</f>
        <v>-383.67999999999984</v>
      </c>
      <c r="H40" s="164"/>
      <c r="I40" s="165">
        <f aca="true" t="shared" si="13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4" ref="P40:P63">O40-N40</f>
        <v>-383.67999999999984</v>
      </c>
      <c r="Q40" s="165">
        <f t="shared" si="11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 t="shared" si="12"/>
        <v>41.08</v>
      </c>
      <c r="H41" s="164">
        <f aca="true" t="shared" si="15" ref="H41:H62">F41/E41*100</f>
        <v>356.75</v>
      </c>
      <c r="I41" s="165">
        <f t="shared" si="13"/>
        <v>17.08</v>
      </c>
      <c r="J41" s="165">
        <f aca="true" t="shared" si="16" ref="J41:J62">F41/D41*100</f>
        <v>142.70000000000002</v>
      </c>
      <c r="K41" s="165">
        <v>24.38</v>
      </c>
      <c r="L41" s="165">
        <f t="shared" si="1"/>
        <v>32.7</v>
      </c>
      <c r="M41" s="218">
        <f aca="true" t="shared" si="17" ref="M41:M63">F41/K41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 t="shared" si="14"/>
        <v>36.21</v>
      </c>
      <c r="Q41" s="165"/>
      <c r="R41" s="37"/>
      <c r="S41" s="94"/>
      <c r="T41" s="147">
        <f t="shared" si="8"/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2"/>
        <v>2.03</v>
      </c>
      <c r="H42" s="164"/>
      <c r="I42" s="165">
        <f t="shared" si="13"/>
        <v>2.03</v>
      </c>
      <c r="J42" s="165"/>
      <c r="K42" s="165">
        <v>1.02</v>
      </c>
      <c r="L42" s="165">
        <f t="shared" si="1"/>
        <v>1.0099999999999998</v>
      </c>
      <c r="M42" s="218">
        <f t="shared" si="17"/>
        <v>1.9901960784313724</v>
      </c>
      <c r="N42" s="164">
        <f>E42-'січень 17'!E42</f>
        <v>0</v>
      </c>
      <c r="O42" s="168">
        <f>F42-'січень 17'!F42</f>
        <v>2.03</v>
      </c>
      <c r="P42" s="167">
        <f t="shared" si="14"/>
        <v>2.03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 t="shared" si="12"/>
        <v>42.08</v>
      </c>
      <c r="H43" s="164">
        <f t="shared" si="15"/>
        <v>205.20000000000002</v>
      </c>
      <c r="I43" s="165">
        <f t="shared" si="13"/>
        <v>-177.92000000000002</v>
      </c>
      <c r="J43" s="165">
        <f t="shared" si="16"/>
        <v>31.569230769230767</v>
      </c>
      <c r="K43" s="165">
        <v>3.65</v>
      </c>
      <c r="L43" s="165">
        <f t="shared" si="1"/>
        <v>78.42999999999999</v>
      </c>
      <c r="M43" s="218">
        <f t="shared" si="17"/>
        <v>22.487671232876714</v>
      </c>
      <c r="N43" s="164">
        <f>E43-'січень 17'!E43</f>
        <v>20</v>
      </c>
      <c r="O43" s="168">
        <f>F43-'січень 17'!F43</f>
        <v>70.91</v>
      </c>
      <c r="P43" s="167">
        <f t="shared" si="14"/>
        <v>50.91</v>
      </c>
      <c r="Q43" s="165">
        <f t="shared" si="11"/>
        <v>354.54999999999995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2"/>
        <v>-13.6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 t="shared" si="12"/>
        <v>72.38999999999999</v>
      </c>
      <c r="H45" s="164">
        <f t="shared" si="15"/>
        <v>160.325</v>
      </c>
      <c r="I45" s="165">
        <f t="shared" si="13"/>
        <v>-537.61</v>
      </c>
      <c r="J45" s="165">
        <f t="shared" si="16"/>
        <v>26.35479452054794</v>
      </c>
      <c r="K45" s="165">
        <v>0</v>
      </c>
      <c r="L45" s="165">
        <f t="shared" si="1"/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 t="shared" si="14"/>
        <v>42.93999999999998</v>
      </c>
      <c r="Q45" s="165">
        <f t="shared" si="11"/>
        <v>171.56666666666663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 t="shared" si="12"/>
        <v>743.7199999999998</v>
      </c>
      <c r="H47" s="164">
        <f t="shared" si="15"/>
        <v>153.12285714285713</v>
      </c>
      <c r="I47" s="165">
        <f t="shared" si="13"/>
        <v>-8856.28</v>
      </c>
      <c r="J47" s="165">
        <f t="shared" si="16"/>
        <v>19.488363636363633</v>
      </c>
      <c r="K47" s="165">
        <v>1351.17</v>
      </c>
      <c r="L47" s="165">
        <f t="shared" si="1"/>
        <v>792.5499999999997</v>
      </c>
      <c r="M47" s="218">
        <f t="shared" si="17"/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 t="shared" si="14"/>
        <v>291.15999999999985</v>
      </c>
      <c r="Q47" s="165">
        <f t="shared" si="11"/>
        <v>136.39499999999998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 t="shared" si="12"/>
        <v>40.44</v>
      </c>
      <c r="H48" s="164">
        <f t="shared" si="15"/>
        <v>180.88</v>
      </c>
      <c r="I48" s="165">
        <f t="shared" si="13"/>
        <v>-219.56</v>
      </c>
      <c r="J48" s="165">
        <f t="shared" si="16"/>
        <v>29.174193548387095</v>
      </c>
      <c r="K48" s="165">
        <v>1.03</v>
      </c>
      <c r="L48" s="165">
        <f t="shared" si="1"/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 t="shared" si="14"/>
        <v>20.909999999999997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2"/>
        <v>-2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4"/>
        <v>-1</v>
      </c>
      <c r="Q49" s="165">
        <f t="shared" si="11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2"/>
        <v>-36.65000000000009</v>
      </c>
      <c r="H50" s="164">
        <f t="shared" si="15"/>
        <v>96.94583333333333</v>
      </c>
      <c r="I50" s="165">
        <f t="shared" si="13"/>
        <v>-6111.65</v>
      </c>
      <c r="J50" s="165">
        <f t="shared" si="16"/>
        <v>15.991065292096218</v>
      </c>
      <c r="K50" s="165">
        <v>1303.34</v>
      </c>
      <c r="L50" s="165">
        <f t="shared" si="1"/>
        <v>-139.99</v>
      </c>
      <c r="M50" s="218">
        <f t="shared" si="17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4"/>
        <v>-121.6400000000001</v>
      </c>
      <c r="Q50" s="165">
        <f t="shared" si="11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 t="shared" si="12"/>
        <v>-50.95</v>
      </c>
      <c r="H51" s="164">
        <f t="shared" si="15"/>
        <v>63.607142857142854</v>
      </c>
      <c r="I51" s="165">
        <f t="shared" si="13"/>
        <v>-1110.95</v>
      </c>
      <c r="J51" s="165">
        <f t="shared" si="16"/>
        <v>7.420833333333333</v>
      </c>
      <c r="K51" s="165">
        <v>965.16</v>
      </c>
      <c r="L51" s="165">
        <f t="shared" si="1"/>
        <v>-876.11</v>
      </c>
      <c r="M51" s="218">
        <f t="shared" si="17"/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 t="shared" si="14"/>
        <v>-36.040000000000006</v>
      </c>
      <c r="Q51" s="165">
        <f t="shared" si="11"/>
        <v>57.599999999999994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 t="shared" si="12"/>
        <v>-36.290000000000006</v>
      </c>
      <c r="H52" s="30">
        <f t="shared" si="15"/>
        <v>67.0090909090909</v>
      </c>
      <c r="I52" s="104">
        <f t="shared" si="13"/>
        <v>-924.29</v>
      </c>
      <c r="J52" s="104">
        <f t="shared" si="16"/>
        <v>7.385771543086171</v>
      </c>
      <c r="K52" s="104">
        <v>86.43</v>
      </c>
      <c r="L52" s="104">
        <f>F52-K52</f>
        <v>-12.720000000000013</v>
      </c>
      <c r="M52" s="109">
        <f t="shared" si="17"/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 t="shared" si="14"/>
        <v>-29.10000000000001</v>
      </c>
      <c r="Q52" s="119">
        <f t="shared" si="11"/>
        <v>58.428571428571416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2"/>
        <v>0.1</v>
      </c>
      <c r="H53" s="30" t="e">
        <f t="shared" si="15"/>
        <v>#DIV/0!</v>
      </c>
      <c r="I53" s="104">
        <f t="shared" si="13"/>
        <v>-0.9</v>
      </c>
      <c r="J53" s="104">
        <f t="shared" si="16"/>
        <v>10</v>
      </c>
      <c r="K53" s="104">
        <v>0.08</v>
      </c>
      <c r="L53" s="104">
        <f>F53-K53</f>
        <v>0.020000000000000004</v>
      </c>
      <c r="M53" s="109">
        <f t="shared" si="17"/>
        <v>1.25</v>
      </c>
      <c r="N53" s="164">
        <f>E53-'січень 17'!E53</f>
        <v>0</v>
      </c>
      <c r="O53" s="168">
        <f>F53-'січень 17'!F53</f>
        <v>0.09000000000000001</v>
      </c>
      <c r="P53" s="106">
        <f t="shared" si="14"/>
        <v>0.09000000000000001</v>
      </c>
      <c r="Q53" s="119" t="e">
        <f t="shared" si="11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4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 t="shared" si="12"/>
        <v>-14.76</v>
      </c>
      <c r="H55" s="30">
        <f t="shared" si="15"/>
        <v>50.8</v>
      </c>
      <c r="I55" s="104">
        <f t="shared" si="13"/>
        <v>-184.76</v>
      </c>
      <c r="J55" s="104">
        <f t="shared" si="16"/>
        <v>7.62</v>
      </c>
      <c r="K55" s="104">
        <v>878.65</v>
      </c>
      <c r="L55" s="104">
        <f>F55-K55</f>
        <v>-863.41</v>
      </c>
      <c r="M55" s="109">
        <f t="shared" si="17"/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 t="shared" si="14"/>
        <v>-7.029999999999999</v>
      </c>
      <c r="Q55" s="119">
        <f t="shared" si="11"/>
        <v>53.13333333333333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2"/>
        <v>-0.8300000000000001</v>
      </c>
      <c r="H56" s="164"/>
      <c r="I56" s="165">
        <f t="shared" si="13"/>
        <v>-0.8300000000000001</v>
      </c>
      <c r="J56" s="165">
        <f t="shared" si="16"/>
        <v>66.8</v>
      </c>
      <c r="K56" s="165">
        <v>2.46</v>
      </c>
      <c r="L56" s="165">
        <f>F56-K56</f>
        <v>-0.79</v>
      </c>
      <c r="M56" s="218">
        <f t="shared" si="17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4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 t="shared" si="12"/>
        <v>511.42999999999984</v>
      </c>
      <c r="H57" s="164">
        <f t="shared" si="15"/>
        <v>123.24681818181817</v>
      </c>
      <c r="I57" s="165">
        <f t="shared" si="13"/>
        <v>-4638.57</v>
      </c>
      <c r="J57" s="165">
        <f t="shared" si="16"/>
        <v>36.890204081632646</v>
      </c>
      <c r="K57" s="165">
        <v>722.66</v>
      </c>
      <c r="L57" s="165">
        <f aca="true" t="shared" si="18" ref="L57:L63">F57-K57</f>
        <v>1988.77</v>
      </c>
      <c r="M57" s="218">
        <f t="shared" si="17"/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 t="shared" si="14"/>
        <v>-135.9000000000001</v>
      </c>
      <c r="Q57" s="165">
        <f t="shared" si="11"/>
        <v>77.34999999999998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4"/>
        <v>0</v>
      </c>
      <c r="Q58" s="165" t="e">
        <f t="shared" si="11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 t="shared" si="18"/>
        <v>144.02999999999997</v>
      </c>
      <c r="M59" s="218">
        <f t="shared" si="17"/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4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4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 t="shared" si="12"/>
        <v>6.1</v>
      </c>
      <c r="H62" s="164">
        <f t="shared" si="15"/>
        <v>344</v>
      </c>
      <c r="I62" s="165">
        <f t="shared" si="13"/>
        <v>-6.4</v>
      </c>
      <c r="J62" s="165">
        <f t="shared" si="16"/>
        <v>57.333333333333336</v>
      </c>
      <c r="K62" s="165">
        <v>3.8</v>
      </c>
      <c r="L62" s="165">
        <f t="shared" si="18"/>
        <v>4.8</v>
      </c>
      <c r="M62" s="218">
        <f t="shared" si="17"/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 t="shared" si="14"/>
        <v>5.81</v>
      </c>
      <c r="Q62" s="165">
        <f t="shared" si="11"/>
        <v>546.9230769230768</v>
      </c>
      <c r="R62" s="37"/>
      <c r="S62" s="94"/>
      <c r="T62" s="147">
        <f t="shared" si="8"/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2"/>
        <v>-5.33</v>
      </c>
      <c r="H63" s="164"/>
      <c r="I63" s="165">
        <f t="shared" si="13"/>
        <v>-5.33</v>
      </c>
      <c r="J63" s="165"/>
      <c r="K63" s="165">
        <v>0.54</v>
      </c>
      <c r="L63" s="165">
        <f t="shared" si="18"/>
        <v>-5.87</v>
      </c>
      <c r="M63" s="218">
        <f t="shared" si="17"/>
        <v>-9.87037037037037</v>
      </c>
      <c r="N63" s="164">
        <f>E63-'січень 17'!E63</f>
        <v>0</v>
      </c>
      <c r="O63" s="168">
        <f>F63-'січень 17'!F63</f>
        <v>-5.33</v>
      </c>
      <c r="P63" s="167">
        <f t="shared" si="14"/>
        <v>-5.33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 aca="true" t="shared" si="19" ref="G72:G84">F72-E72</f>
        <v>26.66</v>
      </c>
      <c r="H72" s="186"/>
      <c r="I72" s="187">
        <f aca="true" t="shared" si="20" ref="I72:I84">F72-D72</f>
        <v>26.66</v>
      </c>
      <c r="J72" s="187"/>
      <c r="K72" s="187">
        <v>0</v>
      </c>
      <c r="L72" s="187">
        <f aca="true" t="shared" si="21" ref="L72:L84">F72-K72</f>
        <v>26.66</v>
      </c>
      <c r="M72" s="209"/>
      <c r="N72" s="186">
        <f>E72-'січень 17'!E72</f>
        <v>0</v>
      </c>
      <c r="O72" s="294">
        <f>F72-'січень 17'!F72</f>
        <v>14.85</v>
      </c>
      <c r="P72" s="187">
        <f aca="true" t="shared" si="22" ref="P72:P86">O72-N72</f>
        <v>14.85</v>
      </c>
      <c r="Q72" s="18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 t="shared" si="19"/>
        <v>0.07</v>
      </c>
      <c r="H73" s="164"/>
      <c r="I73" s="167">
        <f t="shared" si="20"/>
        <v>-104205.95999999999</v>
      </c>
      <c r="J73" s="167">
        <f>F73/D73*100</f>
        <v>6.71746155188908E-05</v>
      </c>
      <c r="K73" s="167">
        <v>0.1</v>
      </c>
      <c r="L73" s="167">
        <f t="shared" si="21"/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 t="shared" si="22"/>
        <v>0.030000000000000006</v>
      </c>
      <c r="Q73" s="167"/>
      <c r="R73" s="38"/>
      <c r="S73" s="97"/>
      <c r="T73" s="147">
        <f t="shared" si="8"/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 t="shared" si="19"/>
        <v>-1181.66</v>
      </c>
      <c r="H74" s="164">
        <f>F74/E74*100</f>
        <v>3.930081300813008</v>
      </c>
      <c r="I74" s="167">
        <f t="shared" si="20"/>
        <v>-53951.66</v>
      </c>
      <c r="J74" s="167">
        <f>F74/D74*100</f>
        <v>0.08951851851851853</v>
      </c>
      <c r="K74" s="167">
        <v>376.67</v>
      </c>
      <c r="L74" s="167">
        <f t="shared" si="21"/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 t="shared" si="22"/>
        <v>-583.56</v>
      </c>
      <c r="Q74" s="167">
        <f>O74/N74*100</f>
        <v>7.371428571428572</v>
      </c>
      <c r="R74" s="38"/>
      <c r="S74" s="97"/>
      <c r="T74" s="147">
        <f aca="true" t="shared" si="23" ref="T74:T90">D74-E74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 t="shared" si="19"/>
        <v>302.5899999999999</v>
      </c>
      <c r="H75" s="164">
        <f>F75/E75*100</f>
        <v>137.82375</v>
      </c>
      <c r="I75" s="167">
        <f t="shared" si="20"/>
        <v>-77897.41</v>
      </c>
      <c r="J75" s="167">
        <f>F75/D75*100</f>
        <v>1.3956835443037974</v>
      </c>
      <c r="K75" s="167">
        <v>646.84</v>
      </c>
      <c r="L75" s="167">
        <f t="shared" si="21"/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 t="shared" si="22"/>
        <v>612.4699999999999</v>
      </c>
      <c r="Q75" s="167">
        <f>O75/N75*100</f>
        <v>253.11749999999998</v>
      </c>
      <c r="R75" s="38"/>
      <c r="S75" s="97"/>
      <c r="T75" s="147">
        <f t="shared" si="23"/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9"/>
        <v>0</v>
      </c>
      <c r="H76" s="164">
        <f>F76/E76*100</f>
        <v>100</v>
      </c>
      <c r="I76" s="167">
        <f t="shared" si="20"/>
        <v>-10</v>
      </c>
      <c r="J76" s="167">
        <f>F76/D76*100</f>
        <v>16.666666666666664</v>
      </c>
      <c r="K76" s="167">
        <v>2</v>
      </c>
      <c r="L76" s="167">
        <f t="shared" si="21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2"/>
        <v>0</v>
      </c>
      <c r="Q76" s="167">
        <f>O76/N76*100</f>
        <v>100</v>
      </c>
      <c r="R76" s="38"/>
      <c r="S76" s="136"/>
      <c r="T76" s="147">
        <f t="shared" si="23"/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 t="shared" si="19"/>
        <v>-879</v>
      </c>
      <c r="H77" s="186">
        <f>F77/E77*100</f>
        <v>56.74212598425197</v>
      </c>
      <c r="I77" s="187">
        <f t="shared" si="20"/>
        <v>-236065.03</v>
      </c>
      <c r="J77" s="187">
        <f>F77/D77*100</f>
        <v>0.48605074411923915</v>
      </c>
      <c r="K77" s="187">
        <v>1025.62</v>
      </c>
      <c r="L77" s="187">
        <f t="shared" si="21"/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 t="shared" si="22"/>
        <v>28.939999999999827</v>
      </c>
      <c r="Q77" s="187">
        <f>O77/N77*100</f>
        <v>102.8069835111542</v>
      </c>
      <c r="R77" s="39"/>
      <c r="S77" s="116"/>
      <c r="T77" s="147">
        <f t="shared" si="23"/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 t="shared" si="19"/>
        <v>8.78</v>
      </c>
      <c r="H78" s="164"/>
      <c r="I78" s="167">
        <f t="shared" si="20"/>
        <v>-31.22</v>
      </c>
      <c r="J78" s="167"/>
      <c r="K78" s="167">
        <v>0.01</v>
      </c>
      <c r="L78" s="167">
        <f t="shared" si="21"/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 t="shared" si="22"/>
        <v>8.44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2"/>
        <v>0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 t="shared" si="19"/>
        <v>-132.76999999999998</v>
      </c>
      <c r="H80" s="164">
        <f>F80/E80*100</f>
        <v>94.35021276595745</v>
      </c>
      <c r="I80" s="167">
        <f t="shared" si="20"/>
        <v>-6142.77</v>
      </c>
      <c r="J80" s="167">
        <f>F80/D80*100</f>
        <v>26.52188995215311</v>
      </c>
      <c r="K80" s="167">
        <v>2013.66</v>
      </c>
      <c r="L80" s="167">
        <f t="shared" si="21"/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 t="shared" si="23"/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9"/>
        <v>0.03</v>
      </c>
      <c r="H81" s="164"/>
      <c r="I81" s="167">
        <f t="shared" si="20"/>
        <v>0.03</v>
      </c>
      <c r="J81" s="167"/>
      <c r="K81" s="167">
        <v>1.31</v>
      </c>
      <c r="L81" s="167">
        <f t="shared" si="21"/>
        <v>-1.28</v>
      </c>
      <c r="M81" s="209">
        <f aca="true" t="shared" si="24" ref="M81:M86">F81/K81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 t="shared" si="22"/>
        <v>0.03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 t="shared" si="20"/>
        <v>-6173.96</v>
      </c>
      <c r="J82" s="187">
        <f>F82/D82*100</f>
        <v>26.500476190476192</v>
      </c>
      <c r="K82" s="187">
        <v>2013.84</v>
      </c>
      <c r="L82" s="187">
        <f t="shared" si="21"/>
        <v>212.20000000000005</v>
      </c>
      <c r="M82" s="220">
        <f t="shared" si="24"/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 t="shared" si="23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 t="shared" si="19"/>
        <v>-3.9400000000000004</v>
      </c>
      <c r="H83" s="164">
        <f>F83/E83*100</f>
        <v>19.591836734693878</v>
      </c>
      <c r="I83" s="167">
        <f t="shared" si="20"/>
        <v>-37.04</v>
      </c>
      <c r="J83" s="167">
        <f>F83/D83*100</f>
        <v>2.526315789473684</v>
      </c>
      <c r="K83" s="167">
        <v>0.69</v>
      </c>
      <c r="L83" s="167">
        <f t="shared" si="21"/>
        <v>0.27</v>
      </c>
      <c r="M83" s="209">
        <f t="shared" si="24"/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 t="shared" si="22"/>
        <v>-1.8800000000000006</v>
      </c>
      <c r="Q83" s="167">
        <f>O83/N83</f>
        <v>0.24799999999999991</v>
      </c>
      <c r="R83" s="38"/>
      <c r="S83" s="97"/>
      <c r="T83" s="147">
        <f t="shared" si="23"/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 t="shared" si="19"/>
        <v>0</v>
      </c>
      <c r="H84" s="164"/>
      <c r="I84" s="167">
        <f t="shared" si="20"/>
        <v>0</v>
      </c>
      <c r="J84" s="167"/>
      <c r="K84" s="167">
        <v>0</v>
      </c>
      <c r="L84" s="167">
        <f t="shared" si="21"/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 t="shared" si="22"/>
        <v>0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 t="shared" si="24"/>
        <v>1.120663054670101</v>
      </c>
      <c r="N85" s="191">
        <f>N71+N72+N77+N82+N83</f>
        <v>3376</v>
      </c>
      <c r="O85" s="191">
        <f>O71+O72+O77+O82+O83</f>
        <v>3289.629999999999</v>
      </c>
      <c r="P85" s="194">
        <f t="shared" si="22"/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 t="shared" si="23"/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 t="shared" si="24"/>
        <v>1.3945860287486864</v>
      </c>
      <c r="N86" s="192">
        <f>N64+N85</f>
        <v>110041.6</v>
      </c>
      <c r="O86" s="192">
        <f>O64+O85</f>
        <v>108729.81</v>
      </c>
      <c r="P86" s="194">
        <f t="shared" si="22"/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 t="shared" si="23"/>
        <v>1394738.1300000001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14"/>
      <c r="H89" s="314"/>
      <c r="I89" s="314"/>
      <c r="J89" s="314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03"/>
      <c r="P90" s="303"/>
      <c r="T90" s="147">
        <f t="shared" si="23"/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297"/>
      <c r="H91" s="297"/>
      <c r="I91" s="118"/>
      <c r="J91" s="300"/>
      <c r="K91" s="300"/>
      <c r="L91" s="300"/>
      <c r="M91" s="300"/>
      <c r="N91" s="300"/>
      <c r="O91" s="303"/>
      <c r="P91" s="303"/>
    </row>
    <row r="92" spans="3:16" ht="15.75" customHeight="1">
      <c r="C92" s="81">
        <v>42790</v>
      </c>
      <c r="D92" s="29">
        <v>4206.9</v>
      </c>
      <c r="F92" s="68"/>
      <c r="G92" s="297"/>
      <c r="H92" s="297"/>
      <c r="I92" s="118"/>
      <c r="J92" s="304"/>
      <c r="K92" s="304"/>
      <c r="L92" s="304"/>
      <c r="M92" s="304"/>
      <c r="N92" s="304"/>
      <c r="O92" s="303"/>
      <c r="P92" s="303"/>
    </row>
    <row r="93" spans="3:14" ht="15.75" customHeight="1">
      <c r="C93" s="81"/>
      <c r="F93" s="68"/>
      <c r="G93" s="299"/>
      <c r="H93" s="299"/>
      <c r="I93" s="124"/>
      <c r="J93" s="300"/>
      <c r="K93" s="300"/>
      <c r="L93" s="300"/>
      <c r="M93" s="300"/>
      <c r="N93" s="300"/>
    </row>
    <row r="94" spans="2:14" ht="18.75" customHeight="1">
      <c r="B94" s="301" t="s">
        <v>56</v>
      </c>
      <c r="C94" s="302"/>
      <c r="D94" s="133">
        <v>7713.34596</v>
      </c>
      <c r="E94" s="69"/>
      <c r="F94" s="125" t="s">
        <v>107</v>
      </c>
      <c r="G94" s="297"/>
      <c r="H94" s="297"/>
      <c r="I94" s="126"/>
      <c r="J94" s="300"/>
      <c r="K94" s="300"/>
      <c r="L94" s="300"/>
      <c r="M94" s="300"/>
      <c r="N94" s="300"/>
    </row>
    <row r="95" spans="6:13" ht="9.75" customHeight="1">
      <c r="F95" s="68"/>
      <c r="G95" s="297"/>
      <c r="H95" s="297"/>
      <c r="I95" s="68"/>
      <c r="J95" s="69"/>
      <c r="K95" s="69"/>
      <c r="L95" s="69"/>
      <c r="M95" s="69"/>
    </row>
    <row r="96" spans="2:13" ht="22.5" customHeight="1" hidden="1">
      <c r="B96" s="295" t="s">
        <v>59</v>
      </c>
      <c r="C96" s="296"/>
      <c r="D96" s="80">
        <v>0</v>
      </c>
      <c r="E96" s="51" t="s">
        <v>24</v>
      </c>
      <c r="F96" s="68"/>
      <c r="G96" s="297"/>
      <c r="H96" s="29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298"/>
      <c r="P98" s="298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 aca="true" t="shared" si="25" ref="K100:P100">K40+K41+K43+K45+K47+K48+K49+K50+K51+K57+K61+K44</f>
        <v>4835.679999999999</v>
      </c>
      <c r="L100" s="29">
        <f t="shared" si="25"/>
        <v>3843.0699999999997</v>
      </c>
      <c r="M100" s="29">
        <f t="shared" si="25"/>
        <v>32.174115396616955</v>
      </c>
      <c r="N100" s="29">
        <f t="shared" si="25"/>
        <v>4703.8</v>
      </c>
      <c r="O100" s="229">
        <f t="shared" si="25"/>
        <v>4460.869999999999</v>
      </c>
      <c r="P100" s="29">
        <f t="shared" si="25"/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204022.1</v>
      </c>
      <c r="F101" s="229">
        <f t="shared" si="26"/>
        <v>203526.37000000005</v>
      </c>
      <c r="G101" s="29">
        <f t="shared" si="26"/>
        <v>-495.7299999999468</v>
      </c>
      <c r="H101" s="230">
        <f>F101/E101</f>
        <v>0.9975702142071866</v>
      </c>
      <c r="I101" s="29">
        <f t="shared" si="26"/>
        <v>-1153964.73</v>
      </c>
      <c r="J101" s="230">
        <f>F101/D101</f>
        <v>0.14992832733857336</v>
      </c>
      <c r="K101" s="29">
        <f t="shared" si="26"/>
        <v>4835.679999999999</v>
      </c>
      <c r="L101" s="29">
        <f t="shared" si="26"/>
        <v>3843.0699999999997</v>
      </c>
      <c r="M101" s="29">
        <f t="shared" si="26"/>
        <v>32.174115396616955</v>
      </c>
      <c r="N101" s="29">
        <f t="shared" si="26"/>
        <v>106672.40000000001</v>
      </c>
      <c r="O101" s="229">
        <f t="shared" si="26"/>
        <v>105440.18</v>
      </c>
      <c r="P101" s="29">
        <f t="shared" si="26"/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-5.4569682106375694E-12</v>
      </c>
      <c r="H102" s="230"/>
      <c r="I102" s="29">
        <f t="shared" si="27"/>
        <v>0</v>
      </c>
      <c r="J102" s="230"/>
      <c r="K102" s="29">
        <f t="shared" si="27"/>
        <v>140507.58000000002</v>
      </c>
      <c r="L102" s="29">
        <f t="shared" si="27"/>
        <v>54340.040000000045</v>
      </c>
      <c r="M102" s="29">
        <f t="shared" si="27"/>
        <v>-30.77380023924399</v>
      </c>
      <c r="N102" s="29">
        <f t="shared" si="27"/>
        <v>-6.80000000000291</v>
      </c>
      <c r="O102" s="29">
        <f t="shared" si="27"/>
        <v>0</v>
      </c>
      <c r="P102" s="29">
        <f t="shared" si="27"/>
        <v>-4.547473508864641E-12</v>
      </c>
      <c r="Q102" s="29"/>
      <c r="R102" s="29">
        <f t="shared" si="27"/>
        <v>70672.18</v>
      </c>
      <c r="S102" s="29">
        <f t="shared" si="27"/>
        <v>3.0326789001380576</v>
      </c>
      <c r="T102" s="29">
        <f t="shared" si="27"/>
        <v>1153469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21" t="s">
        <v>144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86"/>
      <c r="S1" s="87"/>
    </row>
    <row r="2" spans="2:19" s="1" customFormat="1" ht="15.75" customHeight="1">
      <c r="B2" s="322"/>
      <c r="C2" s="322"/>
      <c r="D2" s="322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3"/>
      <c r="B3" s="325"/>
      <c r="C3" s="326" t="s">
        <v>0</v>
      </c>
      <c r="D3" s="327" t="s">
        <v>134</v>
      </c>
      <c r="E3" s="32"/>
      <c r="F3" s="328" t="s">
        <v>26</v>
      </c>
      <c r="G3" s="329"/>
      <c r="H3" s="329"/>
      <c r="I3" s="329"/>
      <c r="J3" s="330"/>
      <c r="K3" s="83"/>
      <c r="L3" s="83"/>
      <c r="M3" s="83"/>
      <c r="N3" s="331" t="s">
        <v>123</v>
      </c>
      <c r="O3" s="332" t="s">
        <v>118</v>
      </c>
      <c r="P3" s="332"/>
      <c r="Q3" s="332"/>
      <c r="R3" s="332"/>
      <c r="S3" s="332"/>
    </row>
    <row r="4" spans="1:19" ht="22.5" customHeight="1">
      <c r="A4" s="323"/>
      <c r="B4" s="325"/>
      <c r="C4" s="326"/>
      <c r="D4" s="327"/>
      <c r="E4" s="333" t="s">
        <v>135</v>
      </c>
      <c r="F4" s="315" t="s">
        <v>33</v>
      </c>
      <c r="G4" s="305" t="s">
        <v>136</v>
      </c>
      <c r="H4" s="317" t="s">
        <v>137</v>
      </c>
      <c r="I4" s="305" t="s">
        <v>138</v>
      </c>
      <c r="J4" s="317" t="s">
        <v>139</v>
      </c>
      <c r="K4" s="85" t="s">
        <v>141</v>
      </c>
      <c r="L4" s="204" t="s">
        <v>113</v>
      </c>
      <c r="M4" s="90" t="s">
        <v>63</v>
      </c>
      <c r="N4" s="317"/>
      <c r="O4" s="319" t="s">
        <v>124</v>
      </c>
      <c r="P4" s="305" t="s">
        <v>49</v>
      </c>
      <c r="Q4" s="307" t="s">
        <v>48</v>
      </c>
      <c r="R4" s="91" t="s">
        <v>64</v>
      </c>
      <c r="S4" s="92" t="s">
        <v>63</v>
      </c>
    </row>
    <row r="5" spans="1:19" ht="67.5" customHeight="1">
      <c r="A5" s="324"/>
      <c r="B5" s="325"/>
      <c r="C5" s="326"/>
      <c r="D5" s="327"/>
      <c r="E5" s="334"/>
      <c r="F5" s="316"/>
      <c r="G5" s="306"/>
      <c r="H5" s="318"/>
      <c r="I5" s="306"/>
      <c r="J5" s="318"/>
      <c r="K5" s="308" t="s">
        <v>142</v>
      </c>
      <c r="L5" s="309"/>
      <c r="M5" s="310"/>
      <c r="N5" s="318"/>
      <c r="O5" s="320"/>
      <c r="P5" s="306"/>
      <c r="Q5" s="307"/>
      <c r="R5" s="308" t="s">
        <v>102</v>
      </c>
      <c r="S5" s="31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 aca="true" t="shared" si="0" ref="G8:G37">F8-E8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 aca="true" t="shared" si="1" ref="L8:L51">F8-K8</f>
        <v>33276.340000000004</v>
      </c>
      <c r="M8" s="205">
        <f aca="true" t="shared" si="2" ref="M8:M28">F8/K8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 t="shared" si="0"/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 t="shared" si="1"/>
        <v>16711.66</v>
      </c>
      <c r="M9" s="206">
        <f t="shared" si="2"/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 t="shared" si="0"/>
        <v>-141.0699999999997</v>
      </c>
      <c r="H10" s="30">
        <f aca="true" t="shared" si="3" ref="H10:H36">F10/E10*100</f>
        <v>99.67408280195914</v>
      </c>
      <c r="I10" s="104">
        <f aca="true" t="shared" si="4" ref="I10:I37">F10-D10</f>
        <v>-658174.07</v>
      </c>
      <c r="J10" s="104">
        <f aca="true" t="shared" si="5" ref="J10:J36">F10/D10*100</f>
        <v>6.15170172689383</v>
      </c>
      <c r="K10" s="106">
        <v>26883.84</v>
      </c>
      <c r="L10" s="106">
        <f t="shared" si="1"/>
        <v>16259.09</v>
      </c>
      <c r="M10" s="207">
        <f t="shared" si="2"/>
        <v>1.604790461481693</v>
      </c>
      <c r="N10" s="105" t="e">
        <f>E10-#REF!</f>
        <v>#REF!</v>
      </c>
      <c r="O10" s="144" t="e">
        <f>F10-#REF!</f>
        <v>#REF!</v>
      </c>
      <c r="P10" s="106" t="e">
        <f aca="true" t="shared" si="6" ref="P10:P37">O10-N10</f>
        <v>#REF!</v>
      </c>
      <c r="Q10" s="158" t="e">
        <f aca="true" t="shared" si="7" ref="Q10:Q16">O10/N10*100</f>
        <v>#REF!</v>
      </c>
      <c r="R10" s="37"/>
      <c r="S10" s="94"/>
      <c r="T10" s="147">
        <f aca="true" t="shared" si="8" ref="T10:T73">D10-E10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 t="shared" si="0"/>
        <v>-918.3000000000002</v>
      </c>
      <c r="H11" s="30">
        <f t="shared" si="3"/>
        <v>74.49166666666667</v>
      </c>
      <c r="I11" s="104">
        <f t="shared" si="4"/>
        <v>-43824.3</v>
      </c>
      <c r="J11" s="104">
        <f t="shared" si="5"/>
        <v>5.76635272868017</v>
      </c>
      <c r="K11" s="106">
        <v>2684.94</v>
      </c>
      <c r="L11" s="106">
        <f t="shared" si="1"/>
        <v>-3.2400000000002365</v>
      </c>
      <c r="M11" s="207">
        <f t="shared" si="2"/>
        <v>0.9987932691233323</v>
      </c>
      <c r="N11" s="105" t="e">
        <f>E11-#REF!</f>
        <v>#REF!</v>
      </c>
      <c r="O11" s="144" t="e">
        <f>F11-#REF!</f>
        <v>#REF!</v>
      </c>
      <c r="P11" s="106" t="e">
        <f t="shared" si="6"/>
        <v>#REF!</v>
      </c>
      <c r="Q11" s="158" t="e">
        <f t="shared" si="7"/>
        <v>#REF!</v>
      </c>
      <c r="R11" s="37"/>
      <c r="S11" s="94"/>
      <c r="T11" s="147">
        <f t="shared" si="8"/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 t="shared" si="0"/>
        <v>80.43</v>
      </c>
      <c r="H12" s="30">
        <f t="shared" si="3"/>
        <v>119.15</v>
      </c>
      <c r="I12" s="104">
        <f t="shared" si="4"/>
        <v>-7779.57</v>
      </c>
      <c r="J12" s="104">
        <f t="shared" si="5"/>
        <v>6.043840579710145</v>
      </c>
      <c r="K12" s="106">
        <v>433.61</v>
      </c>
      <c r="L12" s="106">
        <f t="shared" si="1"/>
        <v>66.82</v>
      </c>
      <c r="M12" s="207">
        <f t="shared" si="2"/>
        <v>1.1541016120476926</v>
      </c>
      <c r="N12" s="105" t="e">
        <f>E12-#REF!</f>
        <v>#REF!</v>
      </c>
      <c r="O12" s="144" t="e">
        <f>F12-#REF!</f>
        <v>#REF!</v>
      </c>
      <c r="P12" s="106" t="e">
        <f t="shared" si="6"/>
        <v>#REF!</v>
      </c>
      <c r="Q12" s="158" t="e">
        <f t="shared" si="7"/>
        <v>#REF!</v>
      </c>
      <c r="R12" s="37"/>
      <c r="S12" s="94"/>
      <c r="T12" s="147">
        <f t="shared" si="8"/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 t="shared" si="0"/>
        <v>199.36</v>
      </c>
      <c r="H13" s="30">
        <f t="shared" si="3"/>
        <v>166.45333333333335</v>
      </c>
      <c r="I13" s="104">
        <f t="shared" si="4"/>
        <v>-8890.64</v>
      </c>
      <c r="J13" s="104">
        <f t="shared" si="5"/>
        <v>5.317997870074548</v>
      </c>
      <c r="K13" s="106">
        <v>209.84</v>
      </c>
      <c r="L13" s="106">
        <f t="shared" si="1"/>
        <v>289.52</v>
      </c>
      <c r="M13" s="207">
        <f t="shared" si="2"/>
        <v>2.3797178802897445</v>
      </c>
      <c r="N13" s="105" t="e">
        <f>E13-#REF!</f>
        <v>#REF!</v>
      </c>
      <c r="O13" s="144" t="e">
        <f>F13-#REF!</f>
        <v>#REF!</v>
      </c>
      <c r="P13" s="106" t="e">
        <f t="shared" si="6"/>
        <v>#REF!</v>
      </c>
      <c r="Q13" s="158" t="e">
        <f t="shared" si="7"/>
        <v>#REF!</v>
      </c>
      <c r="R13" s="37"/>
      <c r="S13" s="94"/>
      <c r="T13" s="147">
        <f t="shared" si="8"/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 t="shared" si="0"/>
        <v>4.5</v>
      </c>
      <c r="H14" s="30">
        <f t="shared" si="3"/>
        <v>104.6875</v>
      </c>
      <c r="I14" s="104">
        <f t="shared" si="4"/>
        <v>-1051.5</v>
      </c>
      <c r="J14" s="104">
        <f t="shared" si="5"/>
        <v>8.723958333333332</v>
      </c>
      <c r="K14" s="106">
        <v>1.04</v>
      </c>
      <c r="L14" s="106">
        <f t="shared" si="1"/>
        <v>99.46</v>
      </c>
      <c r="M14" s="207">
        <f t="shared" si="2"/>
        <v>96.63461538461539</v>
      </c>
      <c r="N14" s="105" t="e">
        <f>E14-#REF!</f>
        <v>#REF!</v>
      </c>
      <c r="O14" s="144" t="e">
        <f>F14-#REF!</f>
        <v>#REF!</v>
      </c>
      <c r="P14" s="106" t="e">
        <f t="shared" si="6"/>
        <v>#REF!</v>
      </c>
      <c r="Q14" s="158" t="e">
        <f t="shared" si="7"/>
        <v>#REF!</v>
      </c>
      <c r="R14" s="37"/>
      <c r="S14" s="94"/>
      <c r="T14" s="147">
        <f t="shared" si="8"/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 t="shared" si="0"/>
        <v>0</v>
      </c>
      <c r="H15" s="157"/>
      <c r="I15" s="158">
        <f t="shared" si="4"/>
        <v>-551</v>
      </c>
      <c r="J15" s="158">
        <f t="shared" si="5"/>
        <v>0</v>
      </c>
      <c r="K15" s="161">
        <v>0</v>
      </c>
      <c r="L15" s="161">
        <f t="shared" si="1"/>
        <v>0</v>
      </c>
      <c r="M15" s="208"/>
      <c r="N15" s="157" t="e">
        <f>E15-#REF!</f>
        <v>#REF!</v>
      </c>
      <c r="O15" s="160" t="e">
        <f>F15-#REF!</f>
        <v>#REF!</v>
      </c>
      <c r="P15" s="161" t="e">
        <f t="shared" si="6"/>
        <v>#REF!</v>
      </c>
      <c r="Q15" s="158" t="e">
        <f t="shared" si="7"/>
        <v>#REF!</v>
      </c>
      <c r="R15" s="37"/>
      <c r="S15" s="94"/>
      <c r="T15" s="147">
        <f t="shared" si="8"/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/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 t="shared" si="6"/>
        <v>#REF!</v>
      </c>
      <c r="Q16" s="158" t="e">
        <f t="shared" si="7"/>
        <v>#REF!</v>
      </c>
      <c r="R16" s="104" t="e">
        <f>O16-358.81</f>
        <v>#REF!</v>
      </c>
      <c r="S16" s="109" t="e">
        <f>O16/358.79</f>
        <v>#REF!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64"/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 t="shared" si="6"/>
        <v>#REF!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 t="shared" si="0"/>
        <v>0</v>
      </c>
      <c r="H18" s="157"/>
      <c r="I18" s="158">
        <f t="shared" si="4"/>
        <v>-125</v>
      </c>
      <c r="J18" s="158">
        <f t="shared" si="5"/>
        <v>0</v>
      </c>
      <c r="K18" s="161">
        <v>0</v>
      </c>
      <c r="L18" s="161">
        <f t="shared" si="1"/>
        <v>0</v>
      </c>
      <c r="M18" s="208"/>
      <c r="N18" s="157" t="e">
        <f>E18-#REF!</f>
        <v>#REF!</v>
      </c>
      <c r="O18" s="160" t="e">
        <f>F18-#REF!</f>
        <v>#REF!</v>
      </c>
      <c r="P18" s="161" t="e">
        <f t="shared" si="6"/>
        <v>#REF!</v>
      </c>
      <c r="Q18" s="158"/>
      <c r="R18" s="37"/>
      <c r="S18" s="94"/>
      <c r="T18" s="147">
        <f t="shared" si="8"/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 t="shared" si="0"/>
        <v>51.75</v>
      </c>
      <c r="H19" s="157">
        <f t="shared" si="3"/>
        <v>100.53350515463917</v>
      </c>
      <c r="I19" s="158">
        <f t="shared" si="4"/>
        <v>-120248.25</v>
      </c>
      <c r="J19" s="158">
        <f t="shared" si="5"/>
        <v>7.501346153846154</v>
      </c>
      <c r="K19" s="169">
        <v>5560</v>
      </c>
      <c r="L19" s="161">
        <f t="shared" si="1"/>
        <v>4191.75</v>
      </c>
      <c r="M19" s="213">
        <f t="shared" si="2"/>
        <v>1.7539118705035972</v>
      </c>
      <c r="N19" s="157" t="e">
        <f>E19-#REF!</f>
        <v>#REF!</v>
      </c>
      <c r="O19" s="160" t="e">
        <f>F19-#REF!</f>
        <v>#REF!</v>
      </c>
      <c r="P19" s="161" t="e">
        <f t="shared" si="6"/>
        <v>#REF!</v>
      </c>
      <c r="Q19" s="158" t="e">
        <f aca="true" t="shared" si="9" ref="Q19:Q24">O19/N19*100</f>
        <v>#REF!</v>
      </c>
      <c r="R19" s="107"/>
      <c r="S19" s="108"/>
      <c r="T19" s="147">
        <f t="shared" si="8"/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 t="shared" si="0"/>
        <v>212.79000000000087</v>
      </c>
      <c r="H20" s="157">
        <f t="shared" si="3"/>
        <v>100.57561371474944</v>
      </c>
      <c r="I20" s="158">
        <f t="shared" si="4"/>
        <v>-363949.81</v>
      </c>
      <c r="J20" s="158">
        <f t="shared" si="5"/>
        <v>9.268885581012245</v>
      </c>
      <c r="K20" s="158">
        <v>24797.05</v>
      </c>
      <c r="L20" s="161">
        <f t="shared" si="1"/>
        <v>12383.240000000002</v>
      </c>
      <c r="M20" s="209">
        <f t="shared" si="2"/>
        <v>1.4993835960325927</v>
      </c>
      <c r="N20" s="157" t="e">
        <f>N21+N30+N31+N32</f>
        <v>#REF!</v>
      </c>
      <c r="O20" s="160" t="e">
        <f>F20-#REF!</f>
        <v>#REF!</v>
      </c>
      <c r="P20" s="161" t="e">
        <f t="shared" si="6"/>
        <v>#REF!</v>
      </c>
      <c r="Q20" s="158" t="e">
        <f t="shared" si="9"/>
        <v>#REF!</v>
      </c>
      <c r="R20" s="107"/>
      <c r="S20" s="108"/>
      <c r="T20" s="147">
        <f t="shared" si="8"/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 t="shared" si="0"/>
        <v>-225.52000000000044</v>
      </c>
      <c r="H21" s="157">
        <f t="shared" si="3"/>
        <v>98.65327425384275</v>
      </c>
      <c r="I21" s="158">
        <f t="shared" si="4"/>
        <v>-190100.72</v>
      </c>
      <c r="J21" s="158">
        <f t="shared" si="5"/>
        <v>7.995450607634267</v>
      </c>
      <c r="K21" s="158">
        <v>11899.3</v>
      </c>
      <c r="L21" s="161">
        <f t="shared" si="1"/>
        <v>4620.98</v>
      </c>
      <c r="M21" s="209">
        <f t="shared" si="2"/>
        <v>1.388340490617095</v>
      </c>
      <c r="N21" s="157" t="e">
        <f>N22+N25+N26</f>
        <v>#REF!</v>
      </c>
      <c r="O21" s="160" t="e">
        <f>F21-#REF!</f>
        <v>#REF!</v>
      </c>
      <c r="P21" s="161" t="e">
        <f t="shared" si="6"/>
        <v>#REF!</v>
      </c>
      <c r="Q21" s="158" t="e">
        <f t="shared" si="9"/>
        <v>#REF!</v>
      </c>
      <c r="R21" s="107"/>
      <c r="S21" s="108"/>
      <c r="T21" s="147">
        <f t="shared" si="8"/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 t="shared" si="0"/>
        <v>-330.3899999999999</v>
      </c>
      <c r="H22" s="173">
        <f t="shared" si="3"/>
        <v>92.0387951807229</v>
      </c>
      <c r="I22" s="174">
        <f t="shared" si="4"/>
        <v>-18989.39</v>
      </c>
      <c r="J22" s="174">
        <f t="shared" si="5"/>
        <v>16.746065149721602</v>
      </c>
      <c r="K22" s="175">
        <v>3049.6</v>
      </c>
      <c r="L22" s="166">
        <f t="shared" si="1"/>
        <v>770.0100000000002</v>
      </c>
      <c r="M22" s="215">
        <f t="shared" si="2"/>
        <v>1.252495409233998</v>
      </c>
      <c r="N22" s="173" t="e">
        <f>E22-#REF!</f>
        <v>#REF!</v>
      </c>
      <c r="O22" s="176" t="e">
        <f>F22-#REF!</f>
        <v>#REF!</v>
      </c>
      <c r="P22" s="177" t="e">
        <f t="shared" si="6"/>
        <v>#REF!</v>
      </c>
      <c r="Q22" s="174" t="e">
        <f t="shared" si="9"/>
        <v>#REF!</v>
      </c>
      <c r="R22" s="107"/>
      <c r="S22" s="108"/>
      <c r="T22" s="147">
        <f t="shared" si="8"/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 t="shared" si="0"/>
        <v>-19.629999999999995</v>
      </c>
      <c r="H23" s="199">
        <f t="shared" si="3"/>
        <v>85.97857142857143</v>
      </c>
      <c r="I23" s="200">
        <f t="shared" si="4"/>
        <v>-1701.9299999999998</v>
      </c>
      <c r="J23" s="200">
        <f t="shared" si="5"/>
        <v>6.605388794380727</v>
      </c>
      <c r="K23" s="200">
        <v>128.1</v>
      </c>
      <c r="L23" s="200">
        <f t="shared" si="1"/>
        <v>-7.72999999999999</v>
      </c>
      <c r="M23" s="228">
        <f t="shared" si="2"/>
        <v>0.939656518345043</v>
      </c>
      <c r="N23" s="199" t="e">
        <f>E23-#REF!</f>
        <v>#REF!</v>
      </c>
      <c r="O23" s="199" t="e">
        <f>F23-#REF!</f>
        <v>#REF!</v>
      </c>
      <c r="P23" s="200" t="e">
        <f t="shared" si="6"/>
        <v>#REF!</v>
      </c>
      <c r="Q23" s="200" t="e">
        <f t="shared" si="9"/>
        <v>#REF!</v>
      </c>
      <c r="R23" s="107"/>
      <c r="S23" s="108"/>
      <c r="T23" s="147">
        <f t="shared" si="8"/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 t="shared" si="0"/>
        <v>-310.7600000000002</v>
      </c>
      <c r="H24" s="199">
        <f t="shared" si="3"/>
        <v>92.2503740648379</v>
      </c>
      <c r="I24" s="200">
        <f t="shared" si="4"/>
        <v>-17287.46</v>
      </c>
      <c r="J24" s="200">
        <f t="shared" si="5"/>
        <v>17.62659207974574</v>
      </c>
      <c r="K24" s="200">
        <v>2921.5</v>
      </c>
      <c r="L24" s="200">
        <f t="shared" si="1"/>
        <v>777.7399999999998</v>
      </c>
      <c r="M24" s="228">
        <f t="shared" si="2"/>
        <v>1.266212562040048</v>
      </c>
      <c r="N24" s="199" t="e">
        <f>E24-#REF!</f>
        <v>#REF!</v>
      </c>
      <c r="O24" s="199" t="e">
        <f>F24-#REF!</f>
        <v>#REF!</v>
      </c>
      <c r="P24" s="200" t="e">
        <f t="shared" si="6"/>
        <v>#REF!</v>
      </c>
      <c r="Q24" s="200" t="e">
        <f t="shared" si="9"/>
        <v>#REF!</v>
      </c>
      <c r="R24" s="107"/>
      <c r="S24" s="108"/>
      <c r="T24" s="147">
        <f t="shared" si="8"/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 t="shared" si="0"/>
        <v>6.280000000000001</v>
      </c>
      <c r="H25" s="173">
        <f t="shared" si="3"/>
        <v>113.71179039301312</v>
      </c>
      <c r="I25" s="174">
        <f t="shared" si="4"/>
        <v>-767.92</v>
      </c>
      <c r="J25" s="174">
        <f t="shared" si="5"/>
        <v>6.351219512195122</v>
      </c>
      <c r="K25" s="174">
        <v>156.87</v>
      </c>
      <c r="L25" s="174">
        <f t="shared" si="1"/>
        <v>-104.79</v>
      </c>
      <c r="M25" s="212">
        <f t="shared" si="2"/>
        <v>0.33199464524765726</v>
      </c>
      <c r="N25" s="173" t="e">
        <f>E25-#REF!</f>
        <v>#REF!</v>
      </c>
      <c r="O25" s="176" t="e">
        <f>F25-#REF!</f>
        <v>#REF!</v>
      </c>
      <c r="P25" s="177" t="e">
        <f t="shared" si="6"/>
        <v>#REF!</v>
      </c>
      <c r="Q25" s="174"/>
      <c r="R25" s="107"/>
      <c r="S25" s="108"/>
      <c r="T25" s="147">
        <f t="shared" si="8"/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 t="shared" si="0"/>
        <v>98.59000000000015</v>
      </c>
      <c r="H26" s="173">
        <f t="shared" si="3"/>
        <v>100.78557768924303</v>
      </c>
      <c r="I26" s="174">
        <f t="shared" si="4"/>
        <v>-170343.41</v>
      </c>
      <c r="J26" s="174">
        <f t="shared" si="5"/>
        <v>6.912099982512896</v>
      </c>
      <c r="K26" s="175">
        <v>8692.83</v>
      </c>
      <c r="L26" s="175">
        <f t="shared" si="1"/>
        <v>3955.76</v>
      </c>
      <c r="M26" s="211">
        <f t="shared" si="2"/>
        <v>1.455060089752129</v>
      </c>
      <c r="N26" s="173" t="e">
        <f>E26-#REF!</f>
        <v>#REF!</v>
      </c>
      <c r="O26" s="176" t="e">
        <f>F26-#REF!</f>
        <v>#REF!</v>
      </c>
      <c r="P26" s="177" t="e">
        <f t="shared" si="6"/>
        <v>#REF!</v>
      </c>
      <c r="Q26" s="174" t="e">
        <f>O26/N26*100</f>
        <v>#REF!</v>
      </c>
      <c r="R26" s="107"/>
      <c r="S26" s="108"/>
      <c r="T26" s="147">
        <f t="shared" si="8"/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 t="shared" si="0"/>
        <v>269.8600000000001</v>
      </c>
      <c r="H27" s="199">
        <f t="shared" si="3"/>
        <v>107.64475920679888</v>
      </c>
      <c r="I27" s="200">
        <f t="shared" si="4"/>
        <v>-53733.14</v>
      </c>
      <c r="J27" s="200">
        <f t="shared" si="5"/>
        <v>6.604661672431475</v>
      </c>
      <c r="K27" s="200">
        <v>2454.05</v>
      </c>
      <c r="L27" s="200">
        <f t="shared" si="1"/>
        <v>1345.81</v>
      </c>
      <c r="M27" s="228">
        <f t="shared" si="2"/>
        <v>1.5484036592571462</v>
      </c>
      <c r="N27" s="199" t="e">
        <f>E27-#REF!</f>
        <v>#REF!</v>
      </c>
      <c r="O27" s="199" t="e">
        <f>F27-#REF!</f>
        <v>#REF!</v>
      </c>
      <c r="P27" s="200" t="e">
        <f t="shared" si="6"/>
        <v>#REF!</v>
      </c>
      <c r="Q27" s="200" t="e">
        <f>O27/N27*100</f>
        <v>#REF!</v>
      </c>
      <c r="R27" s="107"/>
      <c r="S27" s="108"/>
      <c r="T27" s="147">
        <f t="shared" si="8"/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 t="shared" si="0"/>
        <v>-171.27000000000044</v>
      </c>
      <c r="H28" s="199">
        <f t="shared" si="3"/>
        <v>98.10121951219512</v>
      </c>
      <c r="I28" s="200">
        <f t="shared" si="4"/>
        <v>-116610.27</v>
      </c>
      <c r="J28" s="200">
        <f t="shared" si="5"/>
        <v>7.053085071617023</v>
      </c>
      <c r="K28" s="200">
        <v>6238.78</v>
      </c>
      <c r="L28" s="200">
        <f t="shared" si="1"/>
        <v>2609.95</v>
      </c>
      <c r="M28" s="228">
        <f t="shared" si="2"/>
        <v>1.4183430093704217</v>
      </c>
      <c r="N28" s="199" t="e">
        <f>E28-#REF!</f>
        <v>#REF!</v>
      </c>
      <c r="O28" s="199" t="e">
        <f>F28-#REF!</f>
        <v>#REF!</v>
      </c>
      <c r="P28" s="200" t="e">
        <f t="shared" si="6"/>
        <v>#REF!</v>
      </c>
      <c r="Q28" s="200" t="e">
        <f>O28/N28*100</f>
        <v>#REF!</v>
      </c>
      <c r="R28" s="107"/>
      <c r="S28" s="108"/>
      <c r="T28" s="147">
        <f t="shared" si="8"/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 t="e">
        <f>E29-#REF!</f>
        <v>#REF!</v>
      </c>
      <c r="O29" s="160" t="e">
        <f>F29-#REF!</f>
        <v>#REF!</v>
      </c>
      <c r="P29" s="161" t="e">
        <f t="shared" si="6"/>
        <v>#REF!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 t="shared" si="0"/>
        <v>10.06</v>
      </c>
      <c r="H30" s="157">
        <f t="shared" si="3"/>
        <v>435.33333333333337</v>
      </c>
      <c r="I30" s="158">
        <f t="shared" si="4"/>
        <v>-101.94</v>
      </c>
      <c r="J30" s="158">
        <f t="shared" si="5"/>
        <v>11.356521739130434</v>
      </c>
      <c r="K30" s="158">
        <v>2.61</v>
      </c>
      <c r="L30" s="158">
        <f t="shared" si="1"/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 t="shared" si="6"/>
        <v>#REF!</v>
      </c>
      <c r="Q30" s="158" t="e">
        <f>O30/N30*100</f>
        <v>#REF!</v>
      </c>
      <c r="R30" s="107"/>
      <c r="S30" s="108"/>
      <c r="T30" s="147">
        <f t="shared" si="8"/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 t="shared" si="0"/>
        <v>-2.93</v>
      </c>
      <c r="H31" s="157"/>
      <c r="I31" s="158">
        <f t="shared" si="4"/>
        <v>-2.93</v>
      </c>
      <c r="J31" s="158"/>
      <c r="K31" s="158">
        <v>-0.35</v>
      </c>
      <c r="L31" s="158">
        <f t="shared" si="1"/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 t="shared" si="6"/>
        <v>#REF!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 t="shared" si="0"/>
        <v>430.97999999999956</v>
      </c>
      <c r="H32" s="164">
        <f t="shared" si="3"/>
        <v>102.13159105184803</v>
      </c>
      <c r="I32" s="165">
        <f t="shared" si="4"/>
        <v>-173744.42</v>
      </c>
      <c r="J32" s="165">
        <f t="shared" si="5"/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 t="shared" si="6"/>
        <v>#REF!</v>
      </c>
      <c r="Q32" s="165" t="e">
        <f>O32/N32*100</f>
        <v>#REF!</v>
      </c>
      <c r="R32" s="107"/>
      <c r="S32" s="108"/>
      <c r="T32" s="147">
        <f t="shared" si="8"/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</v>
      </c>
      <c r="L33" s="127">
        <f t="shared" si="1"/>
        <v>0</v>
      </c>
      <c r="M33" s="216" t="e">
        <f aca="true" t="shared" si="10" ref="M33:M39">F33/K33</f>
        <v>#DIV/0!</v>
      </c>
      <c r="N33" s="105" t="e">
        <f>E33-#REF!</f>
        <v>#REF!</v>
      </c>
      <c r="O33" s="144" t="e">
        <f>F33-#REF!</f>
        <v>#REF!</v>
      </c>
      <c r="P33" s="106" t="e">
        <f t="shared" si="6"/>
        <v>#REF!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 t="shared" si="0"/>
        <v>85.0300000000002</v>
      </c>
      <c r="H34" s="105">
        <f t="shared" si="3"/>
        <v>102.42942857142859</v>
      </c>
      <c r="I34" s="104">
        <f t="shared" si="4"/>
        <v>-37414.97</v>
      </c>
      <c r="J34" s="104">
        <f t="shared" si="5"/>
        <v>8.743975609756099</v>
      </c>
      <c r="K34" s="127">
        <v>2155.98</v>
      </c>
      <c r="L34" s="127">
        <f t="shared" si="1"/>
        <v>1429.0500000000002</v>
      </c>
      <c r="M34" s="216">
        <f t="shared" si="10"/>
        <v>1.6628308240336183</v>
      </c>
      <c r="N34" s="105" t="e">
        <f>E34-#REF!</f>
        <v>#REF!</v>
      </c>
      <c r="O34" s="144" t="e">
        <f>F34-#REF!</f>
        <v>#REF!</v>
      </c>
      <c r="P34" s="106" t="e">
        <f t="shared" si="6"/>
        <v>#REF!</v>
      </c>
      <c r="Q34" s="104" t="e">
        <f>O34/N34*100</f>
        <v>#REF!</v>
      </c>
      <c r="R34" s="107"/>
      <c r="S34" s="108"/>
      <c r="T34" s="147">
        <f t="shared" si="8"/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 t="shared" si="0"/>
        <v>348.5400000000009</v>
      </c>
      <c r="H35" s="105">
        <f t="shared" si="3"/>
        <v>102.08706586826348</v>
      </c>
      <c r="I35" s="104">
        <f t="shared" si="4"/>
        <v>-136290.56</v>
      </c>
      <c r="J35" s="104">
        <f t="shared" si="5"/>
        <v>11.118194902669964</v>
      </c>
      <c r="K35" s="127">
        <v>10736.34</v>
      </c>
      <c r="L35" s="127">
        <f t="shared" si="1"/>
        <v>6312.200000000001</v>
      </c>
      <c r="M35" s="216">
        <f t="shared" si="10"/>
        <v>1.5879284746943558</v>
      </c>
      <c r="N35" s="105" t="e">
        <f>E35-#REF!</f>
        <v>#REF!</v>
      </c>
      <c r="O35" s="144" t="e">
        <f>F35-#REF!</f>
        <v>#REF!</v>
      </c>
      <c r="P35" s="106" t="e">
        <f t="shared" si="6"/>
        <v>#REF!</v>
      </c>
      <c r="Q35" s="104" t="e">
        <f>O35/N35*100</f>
        <v>#REF!</v>
      </c>
      <c r="R35" s="107"/>
      <c r="S35" s="108"/>
      <c r="T35" s="147">
        <f t="shared" si="8"/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3.19</v>
      </c>
      <c r="L36" s="127">
        <f t="shared" si="1"/>
        <v>12.92</v>
      </c>
      <c r="M36" s="216">
        <f t="shared" si="10"/>
        <v>5.0501567398119125</v>
      </c>
      <c r="N36" s="105" t="e">
        <f>E36-#REF!</f>
        <v>#REF!</v>
      </c>
      <c r="O36" s="144" t="e">
        <f>F36-#REF!</f>
        <v>#REF!</v>
      </c>
      <c r="P36" s="106" t="e">
        <f t="shared" si="6"/>
        <v>#REF!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9.9</v>
      </c>
      <c r="L37" s="119">
        <f t="shared" si="1"/>
        <v>-9.9</v>
      </c>
      <c r="M37" s="217">
        <f t="shared" si="10"/>
        <v>0</v>
      </c>
      <c r="N37" s="137" t="e">
        <f>E37-#REF!</f>
        <v>#REF!</v>
      </c>
      <c r="O37" s="145" t="e">
        <f>F37-#REF!</f>
        <v>#REF!</v>
      </c>
      <c r="P37" s="36" t="e">
        <f t="shared" si="6"/>
        <v>#REF!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 t="shared" si="1"/>
        <v>2196.7700000000004</v>
      </c>
      <c r="M38" s="205">
        <f t="shared" si="10"/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8"/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 t="shared" si="1"/>
        <v>3.4699999999999998</v>
      </c>
      <c r="M39" s="218">
        <f t="shared" si="10"/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1" ref="Q39:Q62">O39/N39*100</f>
        <v>#REF!</v>
      </c>
      <c r="R39" s="37"/>
      <c r="S39" s="94"/>
      <c r="T39" s="147">
        <f t="shared" si="8"/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 aca="true" t="shared" si="12" ref="G40:G63">F40-E40</f>
        <v>0</v>
      </c>
      <c r="H40" s="164"/>
      <c r="I40" s="165">
        <f aca="true" t="shared" si="13" ref="I40:I63">F40-D40</f>
        <v>-30000</v>
      </c>
      <c r="J40" s="165">
        <f>F40/D40*100</f>
        <v>0</v>
      </c>
      <c r="K40" s="165">
        <v>0</v>
      </c>
      <c r="L40" s="165">
        <f t="shared" si="1"/>
        <v>0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4" ref="P40:P63">O40-N40</f>
        <v>#REF!</v>
      </c>
      <c r="Q40" s="165" t="e">
        <f t="shared" si="11"/>
        <v>#REF!</v>
      </c>
      <c r="R40" s="37"/>
      <c r="S40" s="94"/>
      <c r="T40" s="147">
        <f t="shared" si="8"/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 t="shared" si="12"/>
        <v>4.869999999999999</v>
      </c>
      <c r="H41" s="164">
        <f aca="true" t="shared" si="15" ref="H41:H62">F41/E41*100</f>
        <v>148.7</v>
      </c>
      <c r="I41" s="165">
        <f t="shared" si="13"/>
        <v>-25.130000000000003</v>
      </c>
      <c r="J41" s="165">
        <f aca="true" t="shared" si="16" ref="J41:J62">F41/D41*100</f>
        <v>37.175</v>
      </c>
      <c r="K41" s="165">
        <v>17.84</v>
      </c>
      <c r="L41" s="165">
        <f t="shared" si="1"/>
        <v>-2.9700000000000006</v>
      </c>
      <c r="M41" s="218">
        <f aca="true" t="shared" si="17" ref="M41:M63">F41/K41</f>
        <v>0.8335201793721972</v>
      </c>
      <c r="N41" s="164" t="e">
        <f>E41-#REF!</f>
        <v>#REF!</v>
      </c>
      <c r="O41" s="168" t="e">
        <f>F41-#REF!</f>
        <v>#REF!</v>
      </c>
      <c r="P41" s="167" t="e">
        <f t="shared" si="14"/>
        <v>#REF!</v>
      </c>
      <c r="Q41" s="165"/>
      <c r="R41" s="37"/>
      <c r="S41" s="94"/>
      <c r="T41" s="147">
        <f t="shared" si="8"/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 t="shared" si="12"/>
        <v>0</v>
      </c>
      <c r="H42" s="164"/>
      <c r="I42" s="165">
        <f t="shared" si="13"/>
        <v>0</v>
      </c>
      <c r="J42" s="165"/>
      <c r="K42" s="165">
        <v>1.02</v>
      </c>
      <c r="L42" s="165">
        <f t="shared" si="1"/>
        <v>-1.02</v>
      </c>
      <c r="M42" s="218">
        <f t="shared" si="17"/>
        <v>0</v>
      </c>
      <c r="N42" s="164" t="e">
        <f>E42-#REF!</f>
        <v>#REF!</v>
      </c>
      <c r="O42" s="168" t="e">
        <f>F42-#REF!</f>
        <v>#REF!</v>
      </c>
      <c r="P42" s="167" t="e">
        <f t="shared" si="14"/>
        <v>#REF!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 t="shared" si="12"/>
        <v>-8.83</v>
      </c>
      <c r="H43" s="164">
        <f t="shared" si="15"/>
        <v>55.85</v>
      </c>
      <c r="I43" s="165">
        <f t="shared" si="13"/>
        <v>-248.83</v>
      </c>
      <c r="J43" s="165">
        <f t="shared" si="16"/>
        <v>4.296153846153846</v>
      </c>
      <c r="K43" s="165">
        <v>-6.4</v>
      </c>
      <c r="L43" s="165">
        <f t="shared" si="1"/>
        <v>17.57</v>
      </c>
      <c r="M43" s="218">
        <f t="shared" si="17"/>
        <v>-1.7453124999999998</v>
      </c>
      <c r="N43" s="164" t="e">
        <f>E43-#REF!</f>
        <v>#REF!</v>
      </c>
      <c r="O43" s="168" t="e">
        <f>F43-#REF!</f>
        <v>#REF!</v>
      </c>
      <c r="P43" s="167" t="e">
        <f t="shared" si="14"/>
        <v>#REF!</v>
      </c>
      <c r="Q43" s="165" t="e">
        <f t="shared" si="11"/>
        <v>#REF!</v>
      </c>
      <c r="R43" s="37"/>
      <c r="S43" s="94"/>
      <c r="T43" s="147">
        <f t="shared" si="8"/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 t="shared" si="12"/>
        <v>-6.8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8"/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 t="shared" si="12"/>
        <v>29.450000000000003</v>
      </c>
      <c r="H45" s="164">
        <f t="shared" si="15"/>
        <v>149.08333333333334</v>
      </c>
      <c r="I45" s="165">
        <f t="shared" si="13"/>
        <v>-640.55</v>
      </c>
      <c r="J45" s="165">
        <f t="shared" si="16"/>
        <v>12.253424657534246</v>
      </c>
      <c r="K45" s="165">
        <v>0</v>
      </c>
      <c r="L45" s="165">
        <f t="shared" si="1"/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4"/>
        <v>#REF!</v>
      </c>
      <c r="Q45" s="165" t="e">
        <f t="shared" si="11"/>
        <v>#REF!</v>
      </c>
      <c r="R45" s="37"/>
      <c r="S45" s="94"/>
      <c r="T45" s="147">
        <f t="shared" si="8"/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 t="shared" si="12"/>
        <v>452.55999999999995</v>
      </c>
      <c r="H47" s="164">
        <f t="shared" si="15"/>
        <v>175.42666666666668</v>
      </c>
      <c r="I47" s="165">
        <f t="shared" si="13"/>
        <v>-9947.44</v>
      </c>
      <c r="J47" s="165">
        <f t="shared" si="16"/>
        <v>9.568727272727271</v>
      </c>
      <c r="K47" s="165">
        <v>539.02</v>
      </c>
      <c r="L47" s="165">
        <f t="shared" si="1"/>
        <v>513.54</v>
      </c>
      <c r="M47" s="218">
        <f t="shared" si="17"/>
        <v>1.9527290267522541</v>
      </c>
      <c r="N47" s="164" t="e">
        <f>E47-#REF!</f>
        <v>#REF!</v>
      </c>
      <c r="O47" s="168" t="e">
        <f>F47-#REF!</f>
        <v>#REF!</v>
      </c>
      <c r="P47" s="167" t="e">
        <f t="shared" si="14"/>
        <v>#REF!</v>
      </c>
      <c r="Q47" s="165" t="e">
        <f t="shared" si="11"/>
        <v>#REF!</v>
      </c>
      <c r="R47" s="37"/>
      <c r="S47" s="94"/>
      <c r="T47" s="147">
        <f t="shared" si="8"/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 t="shared" si="12"/>
        <v>19.53</v>
      </c>
      <c r="H48" s="164">
        <f t="shared" si="15"/>
        <v>178.12</v>
      </c>
      <c r="I48" s="165">
        <f t="shared" si="13"/>
        <v>-265.47</v>
      </c>
      <c r="J48" s="165">
        <f t="shared" si="16"/>
        <v>14.364516129032259</v>
      </c>
      <c r="K48" s="165">
        <v>1.03</v>
      </c>
      <c r="L48" s="165">
        <f t="shared" si="1"/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4"/>
        <v>#REF!</v>
      </c>
      <c r="Q48" s="165"/>
      <c r="R48" s="37"/>
      <c r="S48" s="94"/>
      <c r="T48" s="147">
        <f t="shared" si="8"/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 t="shared" si="12"/>
        <v>-1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4"/>
        <v>#REF!</v>
      </c>
      <c r="Q49" s="165" t="e">
        <f t="shared" si="11"/>
        <v>#REF!</v>
      </c>
      <c r="R49" s="37"/>
      <c r="S49" s="94"/>
      <c r="T49" s="147">
        <f t="shared" si="8"/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 t="shared" si="12"/>
        <v>84.99000000000001</v>
      </c>
      <c r="H50" s="164">
        <f t="shared" si="15"/>
        <v>114.165</v>
      </c>
      <c r="I50" s="165">
        <f t="shared" si="13"/>
        <v>-6590.01</v>
      </c>
      <c r="J50" s="165">
        <f t="shared" si="16"/>
        <v>9.415670103092785</v>
      </c>
      <c r="K50" s="165">
        <v>716.23</v>
      </c>
      <c r="L50" s="165">
        <f t="shared" si="1"/>
        <v>-31.24000000000001</v>
      </c>
      <c r="M50" s="218">
        <f t="shared" si="17"/>
        <v>0.9563827262192313</v>
      </c>
      <c r="N50" s="164" t="e">
        <f>E50-#REF!</f>
        <v>#REF!</v>
      </c>
      <c r="O50" s="168" t="e">
        <f>F50-#REF!</f>
        <v>#REF!</v>
      </c>
      <c r="P50" s="167" t="e">
        <f t="shared" si="14"/>
        <v>#REF!</v>
      </c>
      <c r="Q50" s="165" t="e">
        <f t="shared" si="11"/>
        <v>#REF!</v>
      </c>
      <c r="R50" s="37"/>
      <c r="S50" s="94"/>
      <c r="T50" s="147">
        <f t="shared" si="8"/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 t="shared" si="12"/>
        <v>-14.909999999999997</v>
      </c>
      <c r="H51" s="164">
        <f t="shared" si="15"/>
        <v>72.89090909090909</v>
      </c>
      <c r="I51" s="165">
        <f t="shared" si="13"/>
        <v>-1159.91</v>
      </c>
      <c r="J51" s="165">
        <f t="shared" si="16"/>
        <v>3.3408333333333338</v>
      </c>
      <c r="K51" s="165">
        <v>408.2</v>
      </c>
      <c r="L51" s="165">
        <f t="shared" si="1"/>
        <v>-368.11</v>
      </c>
      <c r="M51" s="218">
        <f t="shared" si="17"/>
        <v>0.09821166095051446</v>
      </c>
      <c r="N51" s="164" t="e">
        <f>E51-#REF!</f>
        <v>#REF!</v>
      </c>
      <c r="O51" s="168" t="e">
        <f>F51-#REF!</f>
        <v>#REF!</v>
      </c>
      <c r="P51" s="167" t="e">
        <f t="shared" si="14"/>
        <v>#REF!</v>
      </c>
      <c r="Q51" s="165" t="e">
        <f t="shared" si="11"/>
        <v>#REF!</v>
      </c>
      <c r="R51" s="37"/>
      <c r="S51" s="94"/>
      <c r="T51" s="147">
        <f t="shared" si="8"/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 t="shared" si="12"/>
        <v>-7.189999999999998</v>
      </c>
      <c r="H52" s="30">
        <f t="shared" si="15"/>
        <v>82.025</v>
      </c>
      <c r="I52" s="104">
        <f t="shared" si="13"/>
        <v>-965.19</v>
      </c>
      <c r="J52" s="104">
        <f t="shared" si="16"/>
        <v>3.287575150300601</v>
      </c>
      <c r="K52" s="104">
        <v>25.99</v>
      </c>
      <c r="L52" s="104">
        <f>F52-K52</f>
        <v>6.820000000000004</v>
      </c>
      <c r="M52" s="109">
        <f t="shared" si="17"/>
        <v>1.2624086186995</v>
      </c>
      <c r="N52" s="105" t="e">
        <f>E52-#REF!</f>
        <v>#REF!</v>
      </c>
      <c r="O52" s="144" t="e">
        <f>F52-#REF!</f>
        <v>#REF!</v>
      </c>
      <c r="P52" s="106" t="e">
        <f t="shared" si="14"/>
        <v>#REF!</v>
      </c>
      <c r="Q52" s="119" t="e">
        <f t="shared" si="11"/>
        <v>#REF!</v>
      </c>
      <c r="R52" s="37"/>
      <c r="S52" s="94"/>
      <c r="T52" s="147">
        <f t="shared" si="8"/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 t="shared" si="12"/>
        <v>0.01</v>
      </c>
      <c r="H53" s="30" t="e">
        <f t="shared" si="15"/>
        <v>#DIV/0!</v>
      </c>
      <c r="I53" s="104">
        <f t="shared" si="13"/>
        <v>-0.99</v>
      </c>
      <c r="J53" s="104">
        <f t="shared" si="16"/>
        <v>1</v>
      </c>
      <c r="K53" s="104">
        <v>0.04</v>
      </c>
      <c r="L53" s="104">
        <f>F53-K53</f>
        <v>-0.03</v>
      </c>
      <c r="M53" s="109">
        <f t="shared" si="17"/>
        <v>0.25</v>
      </c>
      <c r="N53" s="105" t="e">
        <f>E53-#REF!</f>
        <v>#REF!</v>
      </c>
      <c r="O53" s="144" t="e">
        <f>F53-#REF!</f>
        <v>#REF!</v>
      </c>
      <c r="P53" s="106" t="e">
        <f t="shared" si="14"/>
        <v>#REF!</v>
      </c>
      <c r="Q53" s="119" t="e">
        <f t="shared" si="11"/>
        <v>#REF!</v>
      </c>
      <c r="R53" s="37"/>
      <c r="S53" s="94"/>
      <c r="T53" s="147">
        <f t="shared" si="8"/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05" t="e">
        <f>E54-#REF!</f>
        <v>#REF!</v>
      </c>
      <c r="O54" s="144" t="e">
        <f>F54-#REF!</f>
        <v>#REF!</v>
      </c>
      <c r="P54" s="106" t="e">
        <f t="shared" si="14"/>
        <v>#REF!</v>
      </c>
      <c r="Q54" s="119"/>
      <c r="R54" s="37"/>
      <c r="S54" s="94"/>
      <c r="T54" s="147">
        <f t="shared" si="8"/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 t="shared" si="12"/>
        <v>-7.73</v>
      </c>
      <c r="H55" s="30">
        <f t="shared" si="15"/>
        <v>48.46666666666666</v>
      </c>
      <c r="I55" s="104">
        <f t="shared" si="13"/>
        <v>-192.73</v>
      </c>
      <c r="J55" s="104">
        <f t="shared" si="16"/>
        <v>3.6350000000000002</v>
      </c>
      <c r="K55" s="104">
        <v>382.17</v>
      </c>
      <c r="L55" s="104">
        <f>F55-K55</f>
        <v>-374.90000000000003</v>
      </c>
      <c r="M55" s="109">
        <f t="shared" si="17"/>
        <v>0.019022947902765784</v>
      </c>
      <c r="N55" s="105" t="e">
        <f>E55-#REF!</f>
        <v>#REF!</v>
      </c>
      <c r="O55" s="144" t="e">
        <f>F55-#REF!</f>
        <v>#REF!</v>
      </c>
      <c r="P55" s="106" t="e">
        <f t="shared" si="14"/>
        <v>#REF!</v>
      </c>
      <c r="Q55" s="119" t="e">
        <f t="shared" si="11"/>
        <v>#REF!</v>
      </c>
      <c r="R55" s="37"/>
      <c r="S55" s="94"/>
      <c r="T55" s="147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 t="shared" si="12"/>
        <v>1.67</v>
      </c>
      <c r="H56" s="164"/>
      <c r="I56" s="165">
        <f t="shared" si="13"/>
        <v>-0.8300000000000001</v>
      </c>
      <c r="J56" s="165">
        <f t="shared" si="16"/>
        <v>66.8</v>
      </c>
      <c r="K56" s="165">
        <v>0.17</v>
      </c>
      <c r="L56" s="165">
        <f>F56-K56</f>
        <v>1.5</v>
      </c>
      <c r="M56" s="218">
        <f t="shared" si="17"/>
        <v>9.823529411764705</v>
      </c>
      <c r="N56" s="164" t="e">
        <f>E56-#REF!</f>
        <v>#REF!</v>
      </c>
      <c r="O56" s="168" t="e">
        <f>F56-#REF!</f>
        <v>#REF!</v>
      </c>
      <c r="P56" s="167" t="e">
        <f t="shared" si="14"/>
        <v>#REF!</v>
      </c>
      <c r="Q56" s="165"/>
      <c r="R56" s="37"/>
      <c r="S56" s="94"/>
      <c r="T56" s="147">
        <f t="shared" si="8"/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 t="shared" si="12"/>
        <v>647.3299999999999</v>
      </c>
      <c r="H57" s="164">
        <f t="shared" si="15"/>
        <v>140.458125</v>
      </c>
      <c r="I57" s="165">
        <f t="shared" si="13"/>
        <v>-5102.67</v>
      </c>
      <c r="J57" s="165">
        <f t="shared" si="16"/>
        <v>30.575918367346937</v>
      </c>
      <c r="K57" s="165">
        <v>317.98</v>
      </c>
      <c r="L57" s="165">
        <f aca="true" t="shared" si="18" ref="L57:L63">F57-K57</f>
        <v>1929.35</v>
      </c>
      <c r="M57" s="218">
        <f t="shared" si="17"/>
        <v>7.067519969809421</v>
      </c>
      <c r="N57" s="164" t="e">
        <f>E57-#REF!</f>
        <v>#REF!</v>
      </c>
      <c r="O57" s="168" t="e">
        <f>F57-#REF!</f>
        <v>#REF!</v>
      </c>
      <c r="P57" s="167" t="e">
        <f t="shared" si="14"/>
        <v>#REF!</v>
      </c>
      <c r="Q57" s="165" t="e">
        <f t="shared" si="11"/>
        <v>#REF!</v>
      </c>
      <c r="R57" s="37"/>
      <c r="S57" s="94"/>
      <c r="T57" s="147">
        <f t="shared" si="8"/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 t="e">
        <f>E58-#REF!</f>
        <v>#REF!</v>
      </c>
      <c r="O58" s="168" t="e">
        <f>F58-#REF!</f>
        <v>#REF!</v>
      </c>
      <c r="P58" s="167" t="e">
        <f t="shared" si="14"/>
        <v>#REF!</v>
      </c>
      <c r="Q58" s="165" t="e">
        <f t="shared" si="11"/>
        <v>#REF!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 t="shared" si="18"/>
        <v>97.05000000000001</v>
      </c>
      <c r="M59" s="218">
        <f t="shared" si="17"/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 t="e">
        <f>E60-#REF!</f>
        <v>#REF!</v>
      </c>
      <c r="O60" s="168" t="e">
        <f>F60-#REF!</f>
        <v>#REF!</v>
      </c>
      <c r="P60" s="167" t="e">
        <f t="shared" si="14"/>
        <v>#REF!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 t="e">
        <f>E61-#REF!</f>
        <v>#REF!</v>
      </c>
      <c r="O61" s="168" t="e">
        <f>F61-#REF!</f>
        <v>#REF!</v>
      </c>
      <c r="P61" s="167" t="e">
        <f t="shared" si="14"/>
        <v>#REF!</v>
      </c>
      <c r="Q61" s="165"/>
      <c r="R61" s="37"/>
      <c r="S61" s="94"/>
      <c r="T61" s="147">
        <f t="shared" si="8"/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 t="shared" si="12"/>
        <v>0.29000000000000004</v>
      </c>
      <c r="H62" s="164">
        <f t="shared" si="15"/>
        <v>124.16666666666667</v>
      </c>
      <c r="I62" s="165">
        <f t="shared" si="13"/>
        <v>-13.51</v>
      </c>
      <c r="J62" s="165">
        <f t="shared" si="16"/>
        <v>9.933333333333334</v>
      </c>
      <c r="K62" s="165">
        <v>1</v>
      </c>
      <c r="L62" s="165">
        <f t="shared" si="18"/>
        <v>0.49</v>
      </c>
      <c r="M62" s="218">
        <f t="shared" si="17"/>
        <v>1.49</v>
      </c>
      <c r="N62" s="164" t="e">
        <f>E62-#REF!</f>
        <v>#REF!</v>
      </c>
      <c r="O62" s="168" t="e">
        <f>F62-#REF!</f>
        <v>#REF!</v>
      </c>
      <c r="P62" s="167" t="e">
        <f t="shared" si="14"/>
        <v>#REF!</v>
      </c>
      <c r="Q62" s="165" t="e">
        <f t="shared" si="11"/>
        <v>#REF!</v>
      </c>
      <c r="R62" s="37"/>
      <c r="S62" s="94"/>
      <c r="T62" s="147">
        <f t="shared" si="8"/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 t="shared" si="12"/>
        <v>0</v>
      </c>
      <c r="H63" s="164"/>
      <c r="I63" s="165">
        <f t="shared" si="13"/>
        <v>0</v>
      </c>
      <c r="J63" s="165"/>
      <c r="K63" s="165">
        <v>0.54</v>
      </c>
      <c r="L63" s="165">
        <f t="shared" si="18"/>
        <v>-0.54</v>
      </c>
      <c r="M63" s="218">
        <f t="shared" si="17"/>
        <v>0</v>
      </c>
      <c r="N63" s="164" t="e">
        <f>E63-#REF!</f>
        <v>#REF!</v>
      </c>
      <c r="O63" s="168" t="e">
        <f>F63-#REF!</f>
        <v>#REF!</v>
      </c>
      <c r="P63" s="167" t="e">
        <f t="shared" si="14"/>
        <v>#REF!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8"/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8"/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 aca="true" t="shared" si="19" ref="G72:G84">F72-E72</f>
        <v>11.81</v>
      </c>
      <c r="H72" s="186"/>
      <c r="I72" s="187">
        <f aca="true" t="shared" si="20" ref="I72:I84">F72-D72</f>
        <v>11.81</v>
      </c>
      <c r="J72" s="187"/>
      <c r="K72" s="187">
        <v>0</v>
      </c>
      <c r="L72" s="187">
        <f aca="true" t="shared" si="21" ref="L72:L84">F72-K72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 t="shared" si="19"/>
        <v>0.04</v>
      </c>
      <c r="H73" s="164"/>
      <c r="I73" s="167">
        <f t="shared" si="20"/>
        <v>-3999.96</v>
      </c>
      <c r="J73" s="167">
        <f>F73/D73*100</f>
        <v>0.001</v>
      </c>
      <c r="K73" s="167">
        <v>0.06</v>
      </c>
      <c r="L73" s="167">
        <f t="shared" si="21"/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 aca="true" t="shared" si="22" ref="P73:P86">O73-N73</f>
        <v>#REF!</v>
      </c>
      <c r="Q73" s="167" t="e">
        <f>O73/N73*100</f>
        <v>#REF!</v>
      </c>
      <c r="R73" s="38"/>
      <c r="S73" s="97"/>
      <c r="T73" s="147">
        <f t="shared" si="8"/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 t="shared" si="19"/>
        <v>-598.1</v>
      </c>
      <c r="H74" s="164">
        <f>F74/E74*100</f>
        <v>0.31666666666666665</v>
      </c>
      <c r="I74" s="167">
        <f t="shared" si="20"/>
        <v>-7998.1</v>
      </c>
      <c r="J74" s="167">
        <f>F74/D74*100</f>
        <v>0.02375</v>
      </c>
      <c r="K74" s="167">
        <v>22.91</v>
      </c>
      <c r="L74" s="167">
        <f t="shared" si="21"/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 t="shared" si="22"/>
        <v>#REF!</v>
      </c>
      <c r="Q74" s="167" t="e">
        <f>O74/N74*100</f>
        <v>#REF!</v>
      </c>
      <c r="R74" s="38"/>
      <c r="S74" s="97"/>
      <c r="T74" s="147">
        <f aca="true" t="shared" si="23" ref="T74:T90">D74-E74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 t="shared" si="19"/>
        <v>-309.88</v>
      </c>
      <c r="H75" s="164">
        <f>F75/E75*100</f>
        <v>22.53</v>
      </c>
      <c r="I75" s="167">
        <f t="shared" si="20"/>
        <v>-9909.88</v>
      </c>
      <c r="J75" s="167">
        <f>F75/D75*100</f>
        <v>0.9012000000000001</v>
      </c>
      <c r="K75" s="167">
        <v>282.85</v>
      </c>
      <c r="L75" s="167">
        <f t="shared" si="21"/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 t="shared" si="22"/>
        <v>#REF!</v>
      </c>
      <c r="Q75" s="167" t="e">
        <f>O75/N75*100</f>
        <v>#REF!</v>
      </c>
      <c r="R75" s="38"/>
      <c r="S75" s="97"/>
      <c r="T75" s="147">
        <f t="shared" si="23"/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 t="shared" si="19"/>
        <v>0</v>
      </c>
      <c r="H76" s="164">
        <f>F76/E76*100</f>
        <v>100</v>
      </c>
      <c r="I76" s="167">
        <f t="shared" si="20"/>
        <v>-11</v>
      </c>
      <c r="J76" s="167">
        <f>F76/D76*100</f>
        <v>8.333333333333332</v>
      </c>
      <c r="K76" s="167">
        <v>1</v>
      </c>
      <c r="L76" s="167">
        <f t="shared" si="21"/>
        <v>0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2"/>
        <v>#REF!</v>
      </c>
      <c r="Q76" s="167" t="e">
        <f>O76/N76*100</f>
        <v>#REF!</v>
      </c>
      <c r="R76" s="38"/>
      <c r="S76" s="136"/>
      <c r="T76" s="147">
        <f t="shared" si="23"/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 t="shared" si="19"/>
        <v>-907.94</v>
      </c>
      <c r="H77" s="186">
        <f>F77/E77*100</f>
        <v>9.296703296703297</v>
      </c>
      <c r="I77" s="187">
        <f t="shared" si="20"/>
        <v>-21918.94</v>
      </c>
      <c r="J77" s="187">
        <f>F77/D77*100</f>
        <v>0.42276939850990375</v>
      </c>
      <c r="K77" s="187">
        <v>306.82</v>
      </c>
      <c r="L77" s="187">
        <f t="shared" si="21"/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 t="shared" si="22"/>
        <v>#REF!</v>
      </c>
      <c r="Q77" s="187" t="e">
        <f>O77/N77*100</f>
        <v>#REF!</v>
      </c>
      <c r="R77" s="39"/>
      <c r="S77" s="116"/>
      <c r="T77" s="147">
        <f t="shared" si="23"/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 t="shared" si="19"/>
        <v>0.34</v>
      </c>
      <c r="H78" s="164"/>
      <c r="I78" s="167">
        <f t="shared" si="20"/>
        <v>-39.66</v>
      </c>
      <c r="J78" s="167"/>
      <c r="K78" s="167">
        <v>0</v>
      </c>
      <c r="L78" s="167">
        <f t="shared" si="21"/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 t="shared" si="22"/>
        <v>#REF!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2"/>
        <v>#REF!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 t="shared" si="19"/>
        <v>3.9800000000000004</v>
      </c>
      <c r="H80" s="164">
        <f>F80/E80*100</f>
        <v>153.06666666666666</v>
      </c>
      <c r="I80" s="167">
        <f t="shared" si="20"/>
        <v>-8348.52</v>
      </c>
      <c r="J80" s="167">
        <f>F80/D80*100</f>
        <v>0.13732057416267943</v>
      </c>
      <c r="K80" s="167">
        <v>0</v>
      </c>
      <c r="L80" s="167">
        <f t="shared" si="21"/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3"/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 t="shared" si="19"/>
        <v>0</v>
      </c>
      <c r="H81" s="164"/>
      <c r="I81" s="167">
        <f t="shared" si="20"/>
        <v>0</v>
      </c>
      <c r="J81" s="167"/>
      <c r="K81" s="167">
        <v>1.31</v>
      </c>
      <c r="L81" s="167">
        <f t="shared" si="21"/>
        <v>-1.31</v>
      </c>
      <c r="M81" s="209">
        <f aca="true" t="shared" si="24" ref="M81:M86">F81/K81</f>
        <v>0</v>
      </c>
      <c r="N81" s="164" t="e">
        <f>E81-#REF!</f>
        <v>#REF!</v>
      </c>
      <c r="O81" s="168" t="e">
        <f>F81-#REF!</f>
        <v>#REF!</v>
      </c>
      <c r="P81" s="167" t="e">
        <f t="shared" si="22"/>
        <v>#REF!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 t="shared" si="20"/>
        <v>-8388.18</v>
      </c>
      <c r="J82" s="187">
        <f>F82/D82*100</f>
        <v>0.14071428571428574</v>
      </c>
      <c r="K82" s="187">
        <v>0.12</v>
      </c>
      <c r="L82" s="187">
        <f t="shared" si="21"/>
        <v>11.700000000000001</v>
      </c>
      <c r="M82" s="220">
        <f t="shared" si="24"/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3"/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 t="shared" si="19"/>
        <v>-2.06</v>
      </c>
      <c r="H83" s="164">
        <f>F83/E83*100</f>
        <v>14.16666666666667</v>
      </c>
      <c r="I83" s="167">
        <f t="shared" si="20"/>
        <v>-37.66</v>
      </c>
      <c r="J83" s="167">
        <f>F83/D83*100</f>
        <v>0.8947368421052633</v>
      </c>
      <c r="K83" s="167">
        <v>0.35</v>
      </c>
      <c r="L83" s="167">
        <f t="shared" si="21"/>
        <v>-0.009999999999999953</v>
      </c>
      <c r="M83" s="209">
        <f t="shared" si="24"/>
        <v>0.9714285714285715</v>
      </c>
      <c r="N83" s="164" t="e">
        <f>E83-#REF!</f>
        <v>#REF!</v>
      </c>
      <c r="O83" s="168" t="e">
        <f>F83-#REF!</f>
        <v>#REF!</v>
      </c>
      <c r="P83" s="167" t="e">
        <f t="shared" si="22"/>
        <v>#REF!</v>
      </c>
      <c r="Q83" s="167" t="e">
        <f>O83/N83</f>
        <v>#REF!</v>
      </c>
      <c r="R83" s="38"/>
      <c r="S83" s="97"/>
      <c r="T83" s="147">
        <f t="shared" si="23"/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 t="shared" si="19"/>
        <v>0</v>
      </c>
      <c r="H84" s="164"/>
      <c r="I84" s="167">
        <f t="shared" si="20"/>
        <v>0</v>
      </c>
      <c r="J84" s="167"/>
      <c r="K84" s="167">
        <v>0</v>
      </c>
      <c r="L84" s="167">
        <f t="shared" si="21"/>
        <v>0</v>
      </c>
      <c r="M84" s="167" t="e">
        <f t="shared" si="24"/>
        <v>#DIV/0!</v>
      </c>
      <c r="N84" s="164" t="e">
        <f>E84-#REF!</f>
        <v>#REF!</v>
      </c>
      <c r="O84" s="168" t="e">
        <f>F84-#REF!</f>
        <v>#REF!</v>
      </c>
      <c r="P84" s="167" t="e">
        <f t="shared" si="22"/>
        <v>#REF!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 t="shared" si="24"/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 t="shared" si="22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3"/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 t="shared" si="24"/>
        <v>1.5605560036841895</v>
      </c>
      <c r="N86" s="192" t="e">
        <f>N64+N85</f>
        <v>#REF!</v>
      </c>
      <c r="O86" s="192" t="e">
        <f>O64+O85</f>
        <v>#REF!</v>
      </c>
      <c r="P86" s="194" t="e">
        <f t="shared" si="22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3"/>
        <v>1289573.7000000002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14"/>
      <c r="H89" s="314"/>
      <c r="I89" s="314"/>
      <c r="J89" s="314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03"/>
      <c r="P90" s="303"/>
      <c r="T90" s="147">
        <f t="shared" si="23"/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297"/>
      <c r="H91" s="297"/>
      <c r="I91" s="118"/>
      <c r="J91" s="300"/>
      <c r="K91" s="300"/>
      <c r="L91" s="300"/>
      <c r="M91" s="300"/>
      <c r="N91" s="300"/>
      <c r="O91" s="303"/>
      <c r="P91" s="303"/>
    </row>
    <row r="92" spans="3:16" ht="15.75" customHeight="1">
      <c r="C92" s="81">
        <v>42762</v>
      </c>
      <c r="D92" s="29">
        <v>8862.4</v>
      </c>
      <c r="F92" s="68"/>
      <c r="G92" s="297"/>
      <c r="H92" s="297"/>
      <c r="I92" s="118"/>
      <c r="J92" s="304"/>
      <c r="K92" s="304"/>
      <c r="L92" s="304"/>
      <c r="M92" s="304"/>
      <c r="N92" s="304"/>
      <c r="O92" s="303"/>
      <c r="P92" s="303"/>
    </row>
    <row r="93" spans="3:14" ht="15.75" customHeight="1">
      <c r="C93" s="81"/>
      <c r="F93" s="68"/>
      <c r="G93" s="299"/>
      <c r="H93" s="299"/>
      <c r="I93" s="124"/>
      <c r="J93" s="300"/>
      <c r="K93" s="300"/>
      <c r="L93" s="300"/>
      <c r="M93" s="300"/>
      <c r="N93" s="300"/>
    </row>
    <row r="94" spans="2:14" ht="18.75" customHeight="1">
      <c r="B94" s="301" t="s">
        <v>56</v>
      </c>
      <c r="C94" s="302"/>
      <c r="D94" s="133">
        <f>9505303.41/1000</f>
        <v>9505.30341</v>
      </c>
      <c r="E94" s="69"/>
      <c r="F94" s="125" t="s">
        <v>107</v>
      </c>
      <c r="G94" s="297"/>
      <c r="H94" s="297"/>
      <c r="I94" s="126"/>
      <c r="J94" s="300"/>
      <c r="K94" s="300"/>
      <c r="L94" s="300"/>
      <c r="M94" s="300"/>
      <c r="N94" s="300"/>
    </row>
    <row r="95" spans="6:13" ht="9.75" customHeight="1">
      <c r="F95" s="68"/>
      <c r="G95" s="297"/>
      <c r="H95" s="297"/>
      <c r="I95" s="68"/>
      <c r="J95" s="69"/>
      <c r="K95" s="69"/>
      <c r="L95" s="69"/>
      <c r="M95" s="69"/>
    </row>
    <row r="96" spans="2:13" ht="22.5" customHeight="1" hidden="1">
      <c r="B96" s="295" t="s">
        <v>59</v>
      </c>
      <c r="C96" s="296"/>
      <c r="D96" s="80">
        <v>0</v>
      </c>
      <c r="E96" s="51" t="s">
        <v>24</v>
      </c>
      <c r="F96" s="68"/>
      <c r="G96" s="297"/>
      <c r="H96" s="29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298"/>
      <c r="P98" s="298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 aca="true" t="shared" si="25" ref="K100:P100">K40+K41+K43+K45+K47+K48+K49+K50+K51+K57+K61+K44</f>
        <v>2026.0900000000001</v>
      </c>
      <c r="L100" s="29">
        <f t="shared" si="25"/>
        <v>2191.7899999999995</v>
      </c>
      <c r="M100" s="29">
        <f t="shared" si="25"/>
        <v>10.18479694691847</v>
      </c>
      <c r="N100" s="29" t="e">
        <f t="shared" si="25"/>
        <v>#REF!</v>
      </c>
      <c r="O100" s="229" t="e">
        <f t="shared" si="25"/>
        <v>#REF!</v>
      </c>
      <c r="P100" s="29" t="e">
        <f t="shared" si="25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97356.5</v>
      </c>
      <c r="F101" s="229">
        <f t="shared" si="26"/>
        <v>98086.19</v>
      </c>
      <c r="G101" s="29">
        <f t="shared" si="26"/>
        <v>729.6900000000005</v>
      </c>
      <c r="H101" s="230">
        <f>F101/E101</f>
        <v>1.007495031148408</v>
      </c>
      <c r="I101" s="29">
        <f t="shared" si="26"/>
        <v>-1259404.9100000001</v>
      </c>
      <c r="J101" s="230">
        <f>F101/D101</f>
        <v>0.07225549397708758</v>
      </c>
      <c r="K101" s="29">
        <f t="shared" si="26"/>
        <v>2026.0900000000001</v>
      </c>
      <c r="L101" s="29">
        <f t="shared" si="26"/>
        <v>2191.7899999999995</v>
      </c>
      <c r="M101" s="29">
        <f t="shared" si="26"/>
        <v>10.18479694691847</v>
      </c>
      <c r="N101" s="29" t="e">
        <f t="shared" si="26"/>
        <v>#REF!</v>
      </c>
      <c r="O101" s="229" t="e">
        <f t="shared" si="26"/>
        <v>#REF!</v>
      </c>
      <c r="P101" s="29" t="e">
        <f t="shared" si="26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1.8189894035458565E-12</v>
      </c>
      <c r="H102" s="230"/>
      <c r="I102" s="29">
        <f t="shared" si="27"/>
        <v>0</v>
      </c>
      <c r="J102" s="230"/>
      <c r="K102" s="29">
        <f t="shared" si="27"/>
        <v>60586.5</v>
      </c>
      <c r="L102" s="29">
        <f t="shared" si="27"/>
        <v>33281.810000000005</v>
      </c>
      <c r="M102" s="29">
        <f t="shared" si="27"/>
        <v>-8.618239965327387</v>
      </c>
      <c r="N102" s="29" t="e">
        <f t="shared" si="27"/>
        <v>#REF!</v>
      </c>
      <c r="O102" s="29" t="e">
        <f t="shared" si="27"/>
        <v>#REF!</v>
      </c>
      <c r="P102" s="29" t="e">
        <f t="shared" si="27"/>
        <v>#REF!</v>
      </c>
      <c r="Q102" s="29"/>
      <c r="R102" s="29" t="e">
        <f t="shared" si="27"/>
        <v>#REF!</v>
      </c>
      <c r="S102" s="29" t="e">
        <f t="shared" si="27"/>
        <v>#REF!</v>
      </c>
      <c r="T102" s="29">
        <f t="shared" si="27"/>
        <v>1260134.6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7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Y77" sqref="Y7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21" t="s">
        <v>132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86"/>
      <c r="S1" s="87"/>
    </row>
    <row r="2" spans="2:19" s="1" customFormat="1" ht="15.75" customHeight="1">
      <c r="B2" s="322"/>
      <c r="C2" s="322"/>
      <c r="D2" s="322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3"/>
      <c r="B3" s="325"/>
      <c r="C3" s="326" t="s">
        <v>0</v>
      </c>
      <c r="D3" s="327" t="s">
        <v>126</v>
      </c>
      <c r="E3" s="32"/>
      <c r="F3" s="328" t="s">
        <v>26</v>
      </c>
      <c r="G3" s="329"/>
      <c r="H3" s="329"/>
      <c r="I3" s="329"/>
      <c r="J3" s="330"/>
      <c r="K3" s="83"/>
      <c r="L3" s="83"/>
      <c r="M3" s="83"/>
      <c r="N3" s="331" t="s">
        <v>129</v>
      </c>
      <c r="O3" s="332" t="s">
        <v>125</v>
      </c>
      <c r="P3" s="332"/>
      <c r="Q3" s="332"/>
      <c r="R3" s="332"/>
      <c r="S3" s="332"/>
    </row>
    <row r="4" spans="1:19" ht="22.5" customHeight="1">
      <c r="A4" s="323"/>
      <c r="B4" s="325"/>
      <c r="C4" s="326"/>
      <c r="D4" s="327"/>
      <c r="E4" s="333" t="s">
        <v>127</v>
      </c>
      <c r="F4" s="315" t="s">
        <v>33</v>
      </c>
      <c r="G4" s="305" t="s">
        <v>128</v>
      </c>
      <c r="H4" s="317" t="s">
        <v>122</v>
      </c>
      <c r="I4" s="305" t="s">
        <v>103</v>
      </c>
      <c r="J4" s="317" t="s">
        <v>104</v>
      </c>
      <c r="K4" s="85" t="s">
        <v>114</v>
      </c>
      <c r="L4" s="204" t="s">
        <v>113</v>
      </c>
      <c r="M4" s="90" t="s">
        <v>63</v>
      </c>
      <c r="N4" s="317"/>
      <c r="O4" s="319" t="s">
        <v>133</v>
      </c>
      <c r="P4" s="305" t="s">
        <v>49</v>
      </c>
      <c r="Q4" s="307" t="s">
        <v>48</v>
      </c>
      <c r="R4" s="91" t="s">
        <v>64</v>
      </c>
      <c r="S4" s="92" t="s">
        <v>63</v>
      </c>
    </row>
    <row r="5" spans="1:19" ht="67.5" customHeight="1">
      <c r="A5" s="324"/>
      <c r="B5" s="325"/>
      <c r="C5" s="326"/>
      <c r="D5" s="327"/>
      <c r="E5" s="334"/>
      <c r="F5" s="316"/>
      <c r="G5" s="306"/>
      <c r="H5" s="318"/>
      <c r="I5" s="306"/>
      <c r="J5" s="318"/>
      <c r="K5" s="308" t="s">
        <v>130</v>
      </c>
      <c r="L5" s="309"/>
      <c r="M5" s="310"/>
      <c r="N5" s="318"/>
      <c r="O5" s="320"/>
      <c r="P5" s="306"/>
      <c r="Q5" s="307"/>
      <c r="R5" s="308" t="s">
        <v>102</v>
      </c>
      <c r="S5" s="31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 aca="true" t="shared" si="0" ref="G8:G37">F8-E8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 aca="true" t="shared" si="1" ref="L8:L51">F8-K8</f>
        <v>312102.93000000005</v>
      </c>
      <c r="M8" s="205">
        <f aca="true" t="shared" si="2" ref="M8:M28">F8/K8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 t="shared" si="0"/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 t="shared" si="1"/>
        <v>169104.01000000007</v>
      </c>
      <c r="M9" s="206">
        <f t="shared" si="2"/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 aca="true" t="shared" si="3" ref="E10:E19">D10</f>
        <v>485209</v>
      </c>
      <c r="F10" s="140">
        <v>476189.93</v>
      </c>
      <c r="G10" s="103">
        <f t="shared" si="0"/>
        <v>-9019.070000000007</v>
      </c>
      <c r="H10" s="30">
        <f aca="true" t="shared" si="4" ref="H10:H36">F10/E10*100</f>
        <v>98.14119894725778</v>
      </c>
      <c r="I10" s="104">
        <f aca="true" t="shared" si="5" ref="I10:I37">F10-D10</f>
        <v>-9019.070000000007</v>
      </c>
      <c r="J10" s="104">
        <f aca="true" t="shared" si="6" ref="J10:J36">F10/D10*100</f>
        <v>98.14119894725778</v>
      </c>
      <c r="K10" s="106">
        <v>329938.9</v>
      </c>
      <c r="L10" s="106">
        <f t="shared" si="1"/>
        <v>146251.02999999997</v>
      </c>
      <c r="M10" s="207">
        <f t="shared" si="2"/>
        <v>1.4432670109526338</v>
      </c>
      <c r="N10" s="105" t="e">
        <f>E10-#REF!</f>
        <v>#REF!</v>
      </c>
      <c r="O10" s="144" t="e">
        <f>F10-#REF!</f>
        <v>#REF!</v>
      </c>
      <c r="P10" s="106" t="e">
        <f aca="true" t="shared" si="7" ref="P10:P37">O10-N10</f>
        <v>#REF!</v>
      </c>
      <c r="Q10" s="158" t="e">
        <f aca="true" t="shared" si="8" ref="Q10:Q16">O10/N10*100</f>
        <v>#REF!</v>
      </c>
      <c r="R10" s="37"/>
      <c r="S10" s="94"/>
      <c r="T10" s="147">
        <f aca="true" t="shared" si="9" ref="T10:T73">D10-E10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 t="shared" si="3"/>
        <v>30005.4</v>
      </c>
      <c r="F11" s="140">
        <v>42401.33</v>
      </c>
      <c r="G11" s="103">
        <f t="shared" si="0"/>
        <v>12395.93</v>
      </c>
      <c r="H11" s="30">
        <f t="shared" si="4"/>
        <v>141.31233044718616</v>
      </c>
      <c r="I11" s="104">
        <f t="shared" si="5"/>
        <v>12395.93</v>
      </c>
      <c r="J11" s="104">
        <f t="shared" si="6"/>
        <v>141.31233044718616</v>
      </c>
      <c r="K11" s="106">
        <v>20742.02</v>
      </c>
      <c r="L11" s="106">
        <f t="shared" si="1"/>
        <v>21659.31</v>
      </c>
      <c r="M11" s="207">
        <f t="shared" si="2"/>
        <v>2.0442237544848574</v>
      </c>
      <c r="N11" s="105" t="e">
        <f>E11-#REF!</f>
        <v>#REF!</v>
      </c>
      <c r="O11" s="144" t="e">
        <f>F11-#REF!</f>
        <v>#REF!</v>
      </c>
      <c r="P11" s="106" t="e">
        <f t="shared" si="7"/>
        <v>#REF!</v>
      </c>
      <c r="Q11" s="158" t="e">
        <f t="shared" si="8"/>
        <v>#REF!</v>
      </c>
      <c r="R11" s="37"/>
      <c r="S11" s="94"/>
      <c r="T11" s="147">
        <f t="shared" si="9"/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 t="shared" si="3"/>
        <v>6500</v>
      </c>
      <c r="F12" s="140">
        <v>10663.92</v>
      </c>
      <c r="G12" s="103">
        <f t="shared" si="0"/>
        <v>4163.92</v>
      </c>
      <c r="H12" s="30">
        <f t="shared" si="4"/>
        <v>164.06030769230767</v>
      </c>
      <c r="I12" s="104">
        <f t="shared" si="5"/>
        <v>4163.92</v>
      </c>
      <c r="J12" s="104">
        <f t="shared" si="6"/>
        <v>164.06030769230767</v>
      </c>
      <c r="K12" s="106">
        <v>5604.18</v>
      </c>
      <c r="L12" s="106">
        <f t="shared" si="1"/>
        <v>5059.74</v>
      </c>
      <c r="M12" s="207">
        <f t="shared" si="2"/>
        <v>1.9028510861535495</v>
      </c>
      <c r="N12" s="105" t="e">
        <f>E12-#REF!</f>
        <v>#REF!</v>
      </c>
      <c r="O12" s="144" t="e">
        <f>F12-#REF!</f>
        <v>#REF!</v>
      </c>
      <c r="P12" s="106" t="e">
        <f t="shared" si="7"/>
        <v>#REF!</v>
      </c>
      <c r="Q12" s="158" t="e">
        <f t="shared" si="8"/>
        <v>#REF!</v>
      </c>
      <c r="R12" s="37"/>
      <c r="S12" s="94"/>
      <c r="T12" s="147">
        <f t="shared" si="9"/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 t="shared" si="3"/>
        <v>12400</v>
      </c>
      <c r="F13" s="140">
        <v>9532.64</v>
      </c>
      <c r="G13" s="103">
        <f t="shared" si="0"/>
        <v>-2867.3600000000006</v>
      </c>
      <c r="H13" s="30">
        <f t="shared" si="4"/>
        <v>76.87612903225805</v>
      </c>
      <c r="I13" s="104">
        <f t="shared" si="5"/>
        <v>-2867.3600000000006</v>
      </c>
      <c r="J13" s="104">
        <f t="shared" si="6"/>
        <v>76.87612903225805</v>
      </c>
      <c r="K13" s="106">
        <v>7282.62</v>
      </c>
      <c r="L13" s="106">
        <f t="shared" si="1"/>
        <v>2250.0199999999995</v>
      </c>
      <c r="M13" s="207">
        <f t="shared" si="2"/>
        <v>1.3089574905734473</v>
      </c>
      <c r="N13" s="105" t="e">
        <f>E13-#REF!</f>
        <v>#REF!</v>
      </c>
      <c r="O13" s="144" t="e">
        <f>F13-#REF!</f>
        <v>#REF!</v>
      </c>
      <c r="P13" s="106" t="e">
        <f t="shared" si="7"/>
        <v>#REF!</v>
      </c>
      <c r="Q13" s="158" t="e">
        <f t="shared" si="8"/>
        <v>#REF!</v>
      </c>
      <c r="R13" s="37"/>
      <c r="S13" s="94"/>
      <c r="T13" s="147">
        <f t="shared" si="9"/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 t="shared" si="3"/>
        <v>3480</v>
      </c>
      <c r="F14" s="140">
        <v>3120.73</v>
      </c>
      <c r="G14" s="103">
        <f t="shared" si="0"/>
        <v>-359.27</v>
      </c>
      <c r="H14" s="30">
        <f t="shared" si="4"/>
        <v>89.67614942528735</v>
      </c>
      <c r="I14" s="104">
        <f t="shared" si="5"/>
        <v>-359.27</v>
      </c>
      <c r="J14" s="104">
        <f t="shared" si="6"/>
        <v>89.67614942528735</v>
      </c>
      <c r="K14" s="106">
        <v>9236.82</v>
      </c>
      <c r="L14" s="106">
        <f t="shared" si="1"/>
        <v>-6116.09</v>
      </c>
      <c r="M14" s="207">
        <f t="shared" si="2"/>
        <v>0.337857617664954</v>
      </c>
      <c r="N14" s="105" t="e">
        <f>E14-#REF!</f>
        <v>#REF!</v>
      </c>
      <c r="O14" s="144" t="e">
        <f>F14-#REF!</f>
        <v>#REF!</v>
      </c>
      <c r="P14" s="106" t="e">
        <f t="shared" si="7"/>
        <v>#REF!</v>
      </c>
      <c r="Q14" s="158" t="e">
        <f t="shared" si="8"/>
        <v>#REF!</v>
      </c>
      <c r="R14" s="37"/>
      <c r="S14" s="94"/>
      <c r="T14" s="147">
        <f t="shared" si="9"/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 t="shared" si="3"/>
        <v>500</v>
      </c>
      <c r="F15" s="156">
        <v>459.29</v>
      </c>
      <c r="G15" s="150">
        <f t="shared" si="0"/>
        <v>-40.70999999999998</v>
      </c>
      <c r="H15" s="157">
        <f>F15/E15*100</f>
        <v>91.858</v>
      </c>
      <c r="I15" s="158">
        <f t="shared" si="5"/>
        <v>-40.70999999999998</v>
      </c>
      <c r="J15" s="158">
        <f t="shared" si="6"/>
        <v>91.858</v>
      </c>
      <c r="K15" s="161">
        <v>-522.93</v>
      </c>
      <c r="L15" s="161">
        <f t="shared" si="1"/>
        <v>982.22</v>
      </c>
      <c r="M15" s="208">
        <f t="shared" si="2"/>
        <v>-0.8783011110473679</v>
      </c>
      <c r="N15" s="157" t="e">
        <f>E15-#REF!</f>
        <v>#REF!</v>
      </c>
      <c r="O15" s="160" t="e">
        <f>F15-#REF!</f>
        <v>#REF!</v>
      </c>
      <c r="P15" s="161" t="e">
        <f t="shared" si="7"/>
        <v>#REF!</v>
      </c>
      <c r="Q15" s="158" t="e">
        <f t="shared" si="8"/>
        <v>#REF!</v>
      </c>
      <c r="R15" s="37"/>
      <c r="S15" s="94"/>
      <c r="T15" s="147">
        <f t="shared" si="9"/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 t="shared" si="3"/>
        <v>0</v>
      </c>
      <c r="F16" s="140">
        <v>0</v>
      </c>
      <c r="G16" s="34">
        <f t="shared" si="0"/>
        <v>0</v>
      </c>
      <c r="H16" s="30" t="e">
        <f t="shared" si="4"/>
        <v>#DIV/0!</v>
      </c>
      <c r="I16" s="37">
        <f t="shared" si="5"/>
        <v>0</v>
      </c>
      <c r="J16" s="37" t="e">
        <f t="shared" si="6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 t="e">
        <f>E16-#REF!</f>
        <v>#REF!</v>
      </c>
      <c r="O16" s="160" t="e">
        <f>F16-#REF!</f>
        <v>#REF!</v>
      </c>
      <c r="P16" s="36" t="e">
        <f t="shared" si="7"/>
        <v>#REF!</v>
      </c>
      <c r="Q16" s="158" t="e">
        <f t="shared" si="8"/>
        <v>#REF!</v>
      </c>
      <c r="R16" s="104" t="e">
        <f>O16-358.81</f>
        <v>#REF!</v>
      </c>
      <c r="S16" s="109" t="e">
        <f>O16/358.79</f>
        <v>#REF!</v>
      </c>
      <c r="T16" s="147">
        <f t="shared" si="9"/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 t="shared" si="3"/>
        <v>0</v>
      </c>
      <c r="F17" s="163">
        <v>0.17</v>
      </c>
      <c r="G17" s="162">
        <f t="shared" si="0"/>
        <v>0.17</v>
      </c>
      <c r="H17" s="164"/>
      <c r="I17" s="165">
        <f t="shared" si="5"/>
        <v>0.17</v>
      </c>
      <c r="J17" s="165"/>
      <c r="K17" s="167">
        <v>0.14</v>
      </c>
      <c r="L17" s="161">
        <f t="shared" si="1"/>
        <v>0.03</v>
      </c>
      <c r="M17" s="208">
        <f t="shared" si="2"/>
        <v>1.2142857142857142</v>
      </c>
      <c r="N17" s="157" t="e">
        <f>E17-#REF!</f>
        <v>#REF!</v>
      </c>
      <c r="O17" s="160" t="e">
        <f>F17-#REF!</f>
        <v>#REF!</v>
      </c>
      <c r="P17" s="167" t="e">
        <f t="shared" si="7"/>
        <v>#REF!</v>
      </c>
      <c r="Q17" s="158"/>
      <c r="R17" s="104"/>
      <c r="S17" s="109"/>
      <c r="T17" s="147">
        <f t="shared" si="9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 t="shared" si="3"/>
        <v>105.8</v>
      </c>
      <c r="F18" s="156">
        <v>124.7</v>
      </c>
      <c r="G18" s="150">
        <f t="shared" si="0"/>
        <v>18.900000000000006</v>
      </c>
      <c r="H18" s="157">
        <f t="shared" si="4"/>
        <v>117.86389413988658</v>
      </c>
      <c r="I18" s="158">
        <f t="shared" si="5"/>
        <v>18.900000000000006</v>
      </c>
      <c r="J18" s="158">
        <f t="shared" si="6"/>
        <v>117.86389413988658</v>
      </c>
      <c r="K18" s="161">
        <v>107.4</v>
      </c>
      <c r="L18" s="161">
        <f t="shared" si="1"/>
        <v>17.299999999999997</v>
      </c>
      <c r="M18" s="208">
        <f t="shared" si="2"/>
        <v>1.1610800744878957</v>
      </c>
      <c r="N18" s="157" t="e">
        <f>E18-#REF!</f>
        <v>#REF!</v>
      </c>
      <c r="O18" s="160" t="e">
        <f>F18-#REF!</f>
        <v>#REF!</v>
      </c>
      <c r="P18" s="161" t="e">
        <f t="shared" si="7"/>
        <v>#REF!</v>
      </c>
      <c r="Q18" s="158"/>
      <c r="R18" s="37"/>
      <c r="S18" s="94"/>
      <c r="T18" s="147">
        <f t="shared" si="9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 t="shared" si="3"/>
        <v>101000</v>
      </c>
      <c r="F19" s="156">
        <v>101799.72</v>
      </c>
      <c r="G19" s="150">
        <f t="shared" si="0"/>
        <v>799.7200000000012</v>
      </c>
      <c r="H19" s="157">
        <f t="shared" si="4"/>
        <v>100.79180198019802</v>
      </c>
      <c r="I19" s="158">
        <f t="shared" si="5"/>
        <v>799.7200000000012</v>
      </c>
      <c r="J19" s="158">
        <f t="shared" si="6"/>
        <v>100.79180198019802</v>
      </c>
      <c r="K19" s="169">
        <v>70426.38</v>
      </c>
      <c r="L19" s="161">
        <f t="shared" si="1"/>
        <v>31373.339999999997</v>
      </c>
      <c r="M19" s="213">
        <f t="shared" si="2"/>
        <v>1.4454771067318808</v>
      </c>
      <c r="N19" s="157" t="e">
        <f>E19-#REF!</f>
        <v>#REF!</v>
      </c>
      <c r="O19" s="160" t="e">
        <f>F19-#REF!</f>
        <v>#REF!</v>
      </c>
      <c r="P19" s="161" t="e">
        <f t="shared" si="7"/>
        <v>#REF!</v>
      </c>
      <c r="Q19" s="158" t="e">
        <f aca="true" t="shared" si="10" ref="Q19:Q24">O19/N19*100</f>
        <v>#REF!</v>
      </c>
      <c r="R19" s="107"/>
      <c r="S19" s="108"/>
      <c r="T19" s="147">
        <f t="shared" si="9"/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 t="shared" si="0"/>
        <v>4343.859999999986</v>
      </c>
      <c r="H20" s="157">
        <f t="shared" si="4"/>
        <v>101.2922014881917</v>
      </c>
      <c r="I20" s="158">
        <f t="shared" si="5"/>
        <v>4343.859999999986</v>
      </c>
      <c r="J20" s="158">
        <f t="shared" si="6"/>
        <v>101.2922014881917</v>
      </c>
      <c r="K20" s="158">
        <v>223108.59</v>
      </c>
      <c r="L20" s="161">
        <f t="shared" si="1"/>
        <v>117394.92000000001</v>
      </c>
      <c r="M20" s="209">
        <f t="shared" si="2"/>
        <v>1.5261783959102606</v>
      </c>
      <c r="N20" s="157" t="e">
        <f>N21+N30+N31+N32</f>
        <v>#REF!</v>
      </c>
      <c r="O20" s="160" t="e">
        <f>F20-#REF!</f>
        <v>#REF!</v>
      </c>
      <c r="P20" s="161" t="e">
        <f t="shared" si="7"/>
        <v>#REF!</v>
      </c>
      <c r="Q20" s="158" t="e">
        <f t="shared" si="10"/>
        <v>#REF!</v>
      </c>
      <c r="R20" s="107"/>
      <c r="S20" s="108"/>
      <c r="T20" s="147">
        <f t="shared" si="9"/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 t="shared" si="0"/>
        <v>1750.4000000000233</v>
      </c>
      <c r="H21" s="157">
        <f t="shared" si="4"/>
        <v>100.96951086614862</v>
      </c>
      <c r="I21" s="158">
        <f t="shared" si="5"/>
        <v>1750.4000000000233</v>
      </c>
      <c r="J21" s="158">
        <f t="shared" si="6"/>
        <v>100.96951086614862</v>
      </c>
      <c r="K21" s="158">
        <v>119601.42</v>
      </c>
      <c r="L21" s="161">
        <f t="shared" si="1"/>
        <v>62693.63000000002</v>
      </c>
      <c r="M21" s="209">
        <f t="shared" si="2"/>
        <v>1.524188007132357</v>
      </c>
      <c r="N21" s="157" t="e">
        <f>N22+N25+N26</f>
        <v>#REF!</v>
      </c>
      <c r="O21" s="160" t="e">
        <f>F21-#REF!</f>
        <v>#REF!</v>
      </c>
      <c r="P21" s="161" t="e">
        <f t="shared" si="7"/>
        <v>#REF!</v>
      </c>
      <c r="Q21" s="158" t="e">
        <f t="shared" si="10"/>
        <v>#REF!</v>
      </c>
      <c r="R21" s="107"/>
      <c r="S21" s="108"/>
      <c r="T21" s="147">
        <f t="shared" si="9"/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 aca="true" t="shared" si="11" ref="E22:E30">D22</f>
        <v>21000</v>
      </c>
      <c r="F22" s="172">
        <v>21482.16</v>
      </c>
      <c r="G22" s="171">
        <f t="shared" si="0"/>
        <v>482.15999999999985</v>
      </c>
      <c r="H22" s="173">
        <f t="shared" si="4"/>
        <v>102.296</v>
      </c>
      <c r="I22" s="174">
        <f t="shared" si="5"/>
        <v>482.15999999999985</v>
      </c>
      <c r="J22" s="174">
        <f t="shared" si="6"/>
        <v>102.296</v>
      </c>
      <c r="K22" s="175">
        <v>13340.12</v>
      </c>
      <c r="L22" s="166">
        <f t="shared" si="1"/>
        <v>8142.039999999999</v>
      </c>
      <c r="M22" s="215">
        <f t="shared" si="2"/>
        <v>1.6103423357511026</v>
      </c>
      <c r="N22" s="173" t="e">
        <f>E22-#REF!</f>
        <v>#REF!</v>
      </c>
      <c r="O22" s="176" t="e">
        <f>F22-#REF!</f>
        <v>#REF!</v>
      </c>
      <c r="P22" s="177" t="e">
        <f t="shared" si="7"/>
        <v>#REF!</v>
      </c>
      <c r="Q22" s="174" t="e">
        <f t="shared" si="10"/>
        <v>#REF!</v>
      </c>
      <c r="R22" s="107"/>
      <c r="S22" s="108"/>
      <c r="T22" s="147">
        <f t="shared" si="9"/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 t="shared" si="11"/>
        <v>2000</v>
      </c>
      <c r="F23" s="163">
        <v>842.7</v>
      </c>
      <c r="G23" s="198">
        <f t="shared" si="0"/>
        <v>-1157.3</v>
      </c>
      <c r="H23" s="199">
        <f t="shared" si="4"/>
        <v>42.135</v>
      </c>
      <c r="I23" s="200">
        <f t="shared" si="5"/>
        <v>-1157.3</v>
      </c>
      <c r="J23" s="200">
        <f t="shared" si="6"/>
        <v>42.135</v>
      </c>
      <c r="K23" s="200">
        <v>716.11</v>
      </c>
      <c r="L23" s="200">
        <f t="shared" si="1"/>
        <v>126.59000000000003</v>
      </c>
      <c r="M23" s="228">
        <f t="shared" si="2"/>
        <v>1.1767745178813311</v>
      </c>
      <c r="N23" s="199" t="e">
        <f>E23-#REF!</f>
        <v>#REF!</v>
      </c>
      <c r="O23" s="199" t="e">
        <f>F23-#REF!</f>
        <v>#REF!</v>
      </c>
      <c r="P23" s="200" t="e">
        <f t="shared" si="7"/>
        <v>#REF!</v>
      </c>
      <c r="Q23" s="200" t="e">
        <f t="shared" si="10"/>
        <v>#REF!</v>
      </c>
      <c r="R23" s="107"/>
      <c r="S23" s="108"/>
      <c r="T23" s="147">
        <f t="shared" si="9"/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 t="shared" si="11"/>
        <v>19000</v>
      </c>
      <c r="F24" s="163">
        <v>20639.46</v>
      </c>
      <c r="G24" s="198">
        <f t="shared" si="0"/>
        <v>1639.4599999999991</v>
      </c>
      <c r="H24" s="199">
        <f t="shared" si="4"/>
        <v>108.62873684210525</v>
      </c>
      <c r="I24" s="200">
        <f t="shared" si="5"/>
        <v>1639.4599999999991</v>
      </c>
      <c r="J24" s="200">
        <f t="shared" si="6"/>
        <v>108.62873684210525</v>
      </c>
      <c r="K24" s="200">
        <v>12624.02</v>
      </c>
      <c r="L24" s="200">
        <f t="shared" si="1"/>
        <v>8015.439999999999</v>
      </c>
      <c r="M24" s="228">
        <f t="shared" si="2"/>
        <v>1.6349356227255658</v>
      </c>
      <c r="N24" s="199" t="e">
        <f>E24-#REF!</f>
        <v>#REF!</v>
      </c>
      <c r="O24" s="199" t="e">
        <f>F24-#REF!</f>
        <v>#REF!</v>
      </c>
      <c r="P24" s="200" t="e">
        <f t="shared" si="7"/>
        <v>#REF!</v>
      </c>
      <c r="Q24" s="200" t="e">
        <f t="shared" si="10"/>
        <v>#REF!</v>
      </c>
      <c r="R24" s="107"/>
      <c r="S24" s="108"/>
      <c r="T24" s="147">
        <f t="shared" si="9"/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 t="shared" si="11"/>
        <v>845</v>
      </c>
      <c r="F25" s="172">
        <v>701.85</v>
      </c>
      <c r="G25" s="171">
        <f t="shared" si="0"/>
        <v>-143.14999999999998</v>
      </c>
      <c r="H25" s="173">
        <f t="shared" si="4"/>
        <v>83.05917159763314</v>
      </c>
      <c r="I25" s="174">
        <f t="shared" si="5"/>
        <v>-143.14999999999998</v>
      </c>
      <c r="J25" s="174">
        <f t="shared" si="6"/>
        <v>83.05917159763314</v>
      </c>
      <c r="K25" s="174">
        <v>3879.26</v>
      </c>
      <c r="L25" s="174">
        <f t="shared" si="1"/>
        <v>-3177.4100000000003</v>
      </c>
      <c r="M25" s="212">
        <f t="shared" si="2"/>
        <v>0.18092368132066425</v>
      </c>
      <c r="N25" s="173" t="e">
        <f>E25-#REF!</f>
        <v>#REF!</v>
      </c>
      <c r="O25" s="176" t="e">
        <f>F25-#REF!</f>
        <v>#REF!</v>
      </c>
      <c r="P25" s="177" t="e">
        <f t="shared" si="7"/>
        <v>#REF!</v>
      </c>
      <c r="Q25" s="174"/>
      <c r="R25" s="107"/>
      <c r="S25" s="108"/>
      <c r="T25" s="147">
        <f t="shared" si="9"/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 t="shared" si="11"/>
        <v>158699.65</v>
      </c>
      <c r="F26" s="172">
        <v>160111.04</v>
      </c>
      <c r="G26" s="171">
        <f t="shared" si="0"/>
        <v>1411.390000000014</v>
      </c>
      <c r="H26" s="173">
        <f t="shared" si="4"/>
        <v>100.88934663687034</v>
      </c>
      <c r="I26" s="174">
        <f t="shared" si="5"/>
        <v>1411.390000000014</v>
      </c>
      <c r="J26" s="174">
        <f t="shared" si="6"/>
        <v>100.88934663687034</v>
      </c>
      <c r="K26" s="175">
        <v>102382.03</v>
      </c>
      <c r="L26" s="175">
        <f t="shared" si="1"/>
        <v>57729.01000000001</v>
      </c>
      <c r="M26" s="211">
        <f t="shared" si="2"/>
        <v>1.5638588138953682</v>
      </c>
      <c r="N26" s="173" t="e">
        <f>E26-#REF!</f>
        <v>#REF!</v>
      </c>
      <c r="O26" s="176" t="e">
        <f>F26-#REF!</f>
        <v>#REF!</v>
      </c>
      <c r="P26" s="177" t="e">
        <f t="shared" si="7"/>
        <v>#REF!</v>
      </c>
      <c r="Q26" s="174" t="e">
        <f>O26/N26*100</f>
        <v>#REF!</v>
      </c>
      <c r="R26" s="107"/>
      <c r="S26" s="108"/>
      <c r="T26" s="147">
        <f t="shared" si="9"/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 t="shared" si="11"/>
        <v>49767</v>
      </c>
      <c r="F27" s="163">
        <v>49911.97</v>
      </c>
      <c r="G27" s="198">
        <f t="shared" si="0"/>
        <v>144.97000000000116</v>
      </c>
      <c r="H27" s="199">
        <f t="shared" si="4"/>
        <v>100.29129744609881</v>
      </c>
      <c r="I27" s="200">
        <f t="shared" si="5"/>
        <v>144.97000000000116</v>
      </c>
      <c r="J27" s="200">
        <f t="shared" si="6"/>
        <v>100.29129744609881</v>
      </c>
      <c r="K27" s="200">
        <v>27811.39</v>
      </c>
      <c r="L27" s="200">
        <f t="shared" si="1"/>
        <v>22100.58</v>
      </c>
      <c r="M27" s="228">
        <f t="shared" si="2"/>
        <v>1.7946593104479855</v>
      </c>
      <c r="N27" s="199" t="e">
        <f>E27-#REF!</f>
        <v>#REF!</v>
      </c>
      <c r="O27" s="199" t="e">
        <f>F27-#REF!</f>
        <v>#REF!</v>
      </c>
      <c r="P27" s="200" t="e">
        <f t="shared" si="7"/>
        <v>#REF!</v>
      </c>
      <c r="Q27" s="200" t="e">
        <f>O27/N27*100</f>
        <v>#REF!</v>
      </c>
      <c r="R27" s="107"/>
      <c r="S27" s="108"/>
      <c r="T27" s="147">
        <f t="shared" si="9"/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 t="shared" si="11"/>
        <v>108932.65</v>
      </c>
      <c r="F28" s="163">
        <v>110199.06</v>
      </c>
      <c r="G28" s="198">
        <f t="shared" si="0"/>
        <v>1266.4100000000035</v>
      </c>
      <c r="H28" s="199">
        <f t="shared" si="4"/>
        <v>101.16256237225478</v>
      </c>
      <c r="I28" s="200">
        <f t="shared" si="5"/>
        <v>1266.4100000000035</v>
      </c>
      <c r="J28" s="200">
        <f t="shared" si="6"/>
        <v>101.16256237225478</v>
      </c>
      <c r="K28" s="200">
        <v>74570.64</v>
      </c>
      <c r="L28" s="200">
        <f t="shared" si="1"/>
        <v>35628.42</v>
      </c>
      <c r="M28" s="228">
        <f t="shared" si="2"/>
        <v>1.4777807995210983</v>
      </c>
      <c r="N28" s="199" t="e">
        <f>E28-#REF!</f>
        <v>#REF!</v>
      </c>
      <c r="O28" s="199" t="e">
        <f>F28-#REF!</f>
        <v>#REF!</v>
      </c>
      <c r="P28" s="200" t="e">
        <f t="shared" si="7"/>
        <v>#REF!</v>
      </c>
      <c r="Q28" s="200" t="e">
        <f>O28/N28*100</f>
        <v>#REF!</v>
      </c>
      <c r="R28" s="107"/>
      <c r="S28" s="108"/>
      <c r="T28" s="147">
        <f t="shared" si="9"/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 t="shared" si="11"/>
        <v>0</v>
      </c>
      <c r="F29" s="199">
        <v>0.15</v>
      </c>
      <c r="G29" s="150">
        <f t="shared" si="0"/>
        <v>0.15</v>
      </c>
      <c r="H29" s="157"/>
      <c r="I29" s="158">
        <f t="shared" si="5"/>
        <v>0.15</v>
      </c>
      <c r="J29" s="158"/>
      <c r="K29" s="167">
        <v>0</v>
      </c>
      <c r="L29" s="158">
        <f t="shared" si="1"/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 t="shared" si="7"/>
        <v>#REF!</v>
      </c>
      <c r="Q29" s="158"/>
      <c r="R29" s="107"/>
      <c r="S29" s="108"/>
      <c r="T29" s="147">
        <f t="shared" si="9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 t="shared" si="11"/>
        <v>115</v>
      </c>
      <c r="F30" s="156">
        <v>117.68</v>
      </c>
      <c r="G30" s="150">
        <f t="shared" si="0"/>
        <v>2.680000000000007</v>
      </c>
      <c r="H30" s="157">
        <f t="shared" si="4"/>
        <v>102.3304347826087</v>
      </c>
      <c r="I30" s="158">
        <f t="shared" si="5"/>
        <v>2.680000000000007</v>
      </c>
      <c r="J30" s="158">
        <f t="shared" si="6"/>
        <v>102.3304347826087</v>
      </c>
      <c r="K30" s="158">
        <v>76.57</v>
      </c>
      <c r="L30" s="158">
        <f t="shared" si="1"/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 t="shared" si="7"/>
        <v>#REF!</v>
      </c>
      <c r="Q30" s="158" t="e">
        <f>O30/N30*100</f>
        <v>#REF!</v>
      </c>
      <c r="R30" s="107"/>
      <c r="S30" s="108"/>
      <c r="T30" s="147">
        <f t="shared" si="9"/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 t="shared" si="0"/>
        <v>-177.97</v>
      </c>
      <c r="H31" s="157"/>
      <c r="I31" s="158">
        <f t="shared" si="5"/>
        <v>-177.97</v>
      </c>
      <c r="J31" s="158"/>
      <c r="K31" s="158">
        <v>-838.98</v>
      </c>
      <c r="L31" s="158">
        <f t="shared" si="1"/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 t="shared" si="7"/>
        <v>#REF!</v>
      </c>
      <c r="Q31" s="158"/>
      <c r="R31" s="107"/>
      <c r="S31" s="108"/>
      <c r="T31" s="147">
        <f t="shared" si="9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 t="shared" si="0"/>
        <v>2768.600000000006</v>
      </c>
      <c r="H32" s="164">
        <f t="shared" si="4"/>
        <v>101.78045016077171</v>
      </c>
      <c r="I32" s="165">
        <f t="shared" si="5"/>
        <v>2768.600000000006</v>
      </c>
      <c r="J32" s="165">
        <f t="shared" si="6"/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 t="shared" si="7"/>
        <v>#REF!</v>
      </c>
      <c r="Q32" s="165" t="e">
        <f>O32/N32*100</f>
        <v>#REF!</v>
      </c>
      <c r="R32" s="107"/>
      <c r="S32" s="108"/>
      <c r="T32" s="147">
        <f t="shared" si="9"/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 t="shared" si="0"/>
        <v>0.23</v>
      </c>
      <c r="H33" s="105"/>
      <c r="I33" s="104">
        <f t="shared" si="5"/>
        <v>0.23</v>
      </c>
      <c r="J33" s="104"/>
      <c r="K33" s="127">
        <v>-1.15</v>
      </c>
      <c r="L33" s="127">
        <f t="shared" si="1"/>
        <v>1.38</v>
      </c>
      <c r="M33" s="216">
        <f aca="true" t="shared" si="12" ref="M33:M39">F33/K33</f>
        <v>-0.2</v>
      </c>
      <c r="N33" s="105" t="e">
        <f>E33-#REF!</f>
        <v>#REF!</v>
      </c>
      <c r="O33" s="144" t="e">
        <f>F33-#REF!</f>
        <v>#REF!</v>
      </c>
      <c r="P33" s="106" t="e">
        <f t="shared" si="7"/>
        <v>#REF!</v>
      </c>
      <c r="Q33" s="104"/>
      <c r="R33" s="107"/>
      <c r="S33" s="108"/>
      <c r="T33" s="147">
        <f t="shared" si="9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 t="shared" si="0"/>
        <v>856.7200000000012</v>
      </c>
      <c r="H34" s="105">
        <f t="shared" si="4"/>
        <v>102.23587441605555</v>
      </c>
      <c r="I34" s="104">
        <f t="shared" si="5"/>
        <v>856.7200000000012</v>
      </c>
      <c r="J34" s="104">
        <f t="shared" si="6"/>
        <v>102.23587441605555</v>
      </c>
      <c r="K34" s="127">
        <v>24618.58</v>
      </c>
      <c r="L34" s="127">
        <f t="shared" si="1"/>
        <v>14555.14</v>
      </c>
      <c r="M34" s="216">
        <f t="shared" si="12"/>
        <v>1.59122581399902</v>
      </c>
      <c r="N34" s="105" t="e">
        <f>E34-#REF!</f>
        <v>#REF!</v>
      </c>
      <c r="O34" s="144" t="e">
        <f>F34-#REF!</f>
        <v>#REF!</v>
      </c>
      <c r="P34" s="106" t="e">
        <f t="shared" si="7"/>
        <v>#REF!</v>
      </c>
      <c r="Q34" s="104" t="e">
        <f>O34/N34*100</f>
        <v>#REF!</v>
      </c>
      <c r="R34" s="107"/>
      <c r="S34" s="108"/>
      <c r="T34" s="147">
        <f t="shared" si="9"/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 t="shared" si="0"/>
        <v>1907.4600000000064</v>
      </c>
      <c r="H35" s="105">
        <f t="shared" si="4"/>
        <v>101.6284704436021</v>
      </c>
      <c r="I35" s="104">
        <f t="shared" si="5"/>
        <v>1907.4600000000064</v>
      </c>
      <c r="J35" s="104">
        <f t="shared" si="6"/>
        <v>101.6284704436021</v>
      </c>
      <c r="K35" s="127">
        <v>79616.02</v>
      </c>
      <c r="L35" s="127">
        <f t="shared" si="1"/>
        <v>39423.44</v>
      </c>
      <c r="M35" s="216">
        <f t="shared" si="12"/>
        <v>1.495169690723048</v>
      </c>
      <c r="N35" s="105" t="e">
        <f>E35-#REF!</f>
        <v>#REF!</v>
      </c>
      <c r="O35" s="144" t="e">
        <f>F35-#REF!</f>
        <v>#REF!</v>
      </c>
      <c r="P35" s="106" t="e">
        <f t="shared" si="7"/>
        <v>#REF!</v>
      </c>
      <c r="Q35" s="104" t="e">
        <f>O35/N35*100</f>
        <v>#REF!</v>
      </c>
      <c r="R35" s="107"/>
      <c r="S35" s="108"/>
      <c r="T35" s="147">
        <f t="shared" si="9"/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 t="shared" si="0"/>
        <v>4.18</v>
      </c>
      <c r="H36" s="105">
        <f t="shared" si="4"/>
        <v>108.19607843137256</v>
      </c>
      <c r="I36" s="104">
        <f t="shared" si="5"/>
        <v>4.18</v>
      </c>
      <c r="J36" s="104">
        <f t="shared" si="6"/>
        <v>108.19607843137256</v>
      </c>
      <c r="K36" s="127">
        <v>36.13</v>
      </c>
      <c r="L36" s="127">
        <f t="shared" si="1"/>
        <v>19.049999999999997</v>
      </c>
      <c r="M36" s="216">
        <f t="shared" si="12"/>
        <v>1.5272626626072514</v>
      </c>
      <c r="N36" s="105" t="e">
        <f>E36-#REF!</f>
        <v>#REF!</v>
      </c>
      <c r="O36" s="144" t="e">
        <f>F36-#REF!</f>
        <v>#REF!</v>
      </c>
      <c r="P36" s="106" t="e">
        <f t="shared" si="7"/>
        <v>#REF!</v>
      </c>
      <c r="Q36" s="104"/>
      <c r="R36" s="107"/>
      <c r="S36" s="108"/>
      <c r="T36" s="147">
        <f t="shared" si="9"/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5"/>
        <v>0</v>
      </c>
      <c r="J37" s="37"/>
      <c r="K37" s="119">
        <v>6768.9</v>
      </c>
      <c r="L37" s="119">
        <f t="shared" si="1"/>
        <v>-6768.9</v>
      </c>
      <c r="M37" s="217">
        <f t="shared" si="12"/>
        <v>0</v>
      </c>
      <c r="N37" s="137" t="e">
        <f>E37-#REF!</f>
        <v>#REF!</v>
      </c>
      <c r="O37" s="145" t="e">
        <f>F37-#REF!</f>
        <v>#REF!</v>
      </c>
      <c r="P37" s="36" t="e">
        <f t="shared" si="7"/>
        <v>#REF!</v>
      </c>
      <c r="Q37" s="37"/>
      <c r="R37" s="107"/>
      <c r="S37" s="108"/>
      <c r="T37" s="147">
        <f t="shared" si="9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 t="shared" si="1"/>
        <v>18071.929999999993</v>
      </c>
      <c r="M38" s="205">
        <f t="shared" si="12"/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9"/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 aca="true" t="shared" si="13" ref="E39:E45">D39</f>
        <v>550</v>
      </c>
      <c r="F39" s="156">
        <v>551.04</v>
      </c>
      <c r="G39" s="162">
        <f>F39-E39</f>
        <v>1.0399999999999636</v>
      </c>
      <c r="H39" s="164">
        <f aca="true" t="shared" si="14" ref="H39:H62">F39/E39*100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 t="shared" si="1"/>
        <v>550.49</v>
      </c>
      <c r="M39" s="218">
        <f t="shared" si="12"/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5" ref="Q39:Q62">O39/N39*100</f>
        <v>#REF!</v>
      </c>
      <c r="R39" s="37"/>
      <c r="S39" s="94"/>
      <c r="T39" s="147">
        <f t="shared" si="9"/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 t="shared" si="13"/>
        <v>35600</v>
      </c>
      <c r="F40" s="156">
        <v>36136.57</v>
      </c>
      <c r="G40" s="162">
        <f aca="true" t="shared" si="16" ref="G40:G63">F40-E40</f>
        <v>536.5699999999997</v>
      </c>
      <c r="H40" s="164">
        <f t="shared" si="14"/>
        <v>101.5072191011236</v>
      </c>
      <c r="I40" s="165">
        <f aca="true" t="shared" si="17" ref="I40:I63">F40-D40</f>
        <v>536.5699999999997</v>
      </c>
      <c r="J40" s="165">
        <f>F40/D40*100</f>
        <v>101.5072191011236</v>
      </c>
      <c r="K40" s="165">
        <v>19275.42</v>
      </c>
      <c r="L40" s="165">
        <f t="shared" si="1"/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8" ref="P40:P63">O40-N40</f>
        <v>#REF!</v>
      </c>
      <c r="Q40" s="165" t="e">
        <f t="shared" si="15"/>
        <v>#REF!</v>
      </c>
      <c r="R40" s="37"/>
      <c r="S40" s="94"/>
      <c r="T40" s="147">
        <f t="shared" si="9"/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 t="shared" si="13"/>
        <v>31.039999999999992</v>
      </c>
      <c r="F41" s="156">
        <v>31.98</v>
      </c>
      <c r="G41" s="162">
        <f t="shared" si="16"/>
        <v>0.9400000000000084</v>
      </c>
      <c r="H41" s="164">
        <f t="shared" si="14"/>
        <v>103.02835051546396</v>
      </c>
      <c r="I41" s="165">
        <f t="shared" si="17"/>
        <v>0.9400000000000084</v>
      </c>
      <c r="J41" s="165">
        <f aca="true" t="shared" si="19" ref="J41:J62">F41/D41*100</f>
        <v>103.02835051546396</v>
      </c>
      <c r="K41" s="165">
        <v>445.64</v>
      </c>
      <c r="L41" s="165">
        <f t="shared" si="1"/>
        <v>-413.65999999999997</v>
      </c>
      <c r="M41" s="218">
        <f aca="true" t="shared" si="20" ref="M41:M63">F41/K41</f>
        <v>0.07176196032672112</v>
      </c>
      <c r="N41" s="164" t="e">
        <f>E41-#REF!</f>
        <v>#REF!</v>
      </c>
      <c r="O41" s="168" t="e">
        <f>F41-#REF!</f>
        <v>#REF!</v>
      </c>
      <c r="P41" s="167" t="e">
        <f t="shared" si="18"/>
        <v>#REF!</v>
      </c>
      <c r="Q41" s="165"/>
      <c r="R41" s="37"/>
      <c r="S41" s="94"/>
      <c r="T41" s="147">
        <f t="shared" si="9"/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 t="shared" si="13"/>
        <v>0</v>
      </c>
      <c r="F42" s="156">
        <v>0.1</v>
      </c>
      <c r="G42" s="162">
        <f t="shared" si="16"/>
        <v>0.1</v>
      </c>
      <c r="H42" s="164"/>
      <c r="I42" s="165">
        <f t="shared" si="17"/>
        <v>0.1</v>
      </c>
      <c r="J42" s="165"/>
      <c r="K42" s="165">
        <v>1.02</v>
      </c>
      <c r="L42" s="165">
        <f t="shared" si="1"/>
        <v>-0.92</v>
      </c>
      <c r="M42" s="218">
        <f t="shared" si="20"/>
        <v>0.09803921568627451</v>
      </c>
      <c r="N42" s="164" t="e">
        <f>E42-#REF!</f>
        <v>#REF!</v>
      </c>
      <c r="O42" s="168" t="e">
        <f>F42-#REF!</f>
        <v>#REF!</v>
      </c>
      <c r="P42" s="167" t="e">
        <f t="shared" si="18"/>
        <v>#REF!</v>
      </c>
      <c r="Q42" s="165"/>
      <c r="R42" s="37"/>
      <c r="S42" s="94"/>
      <c r="T42" s="147">
        <f t="shared" si="9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 t="shared" si="13"/>
        <v>227</v>
      </c>
      <c r="F43" s="156">
        <v>241.07</v>
      </c>
      <c r="G43" s="162">
        <f t="shared" si="16"/>
        <v>14.069999999999993</v>
      </c>
      <c r="H43" s="164">
        <f t="shared" si="14"/>
        <v>106.19823788546255</v>
      </c>
      <c r="I43" s="165">
        <f t="shared" si="17"/>
        <v>14.069999999999993</v>
      </c>
      <c r="J43" s="165">
        <f t="shared" si="19"/>
        <v>106.19823788546255</v>
      </c>
      <c r="K43" s="165">
        <v>126.46</v>
      </c>
      <c r="L43" s="165">
        <f t="shared" si="1"/>
        <v>114.61</v>
      </c>
      <c r="M43" s="218">
        <f t="shared" si="20"/>
        <v>1.9062944804681323</v>
      </c>
      <c r="N43" s="164" t="e">
        <f>E43-#REF!</f>
        <v>#REF!</v>
      </c>
      <c r="O43" s="168" t="e">
        <f>F43-#REF!</f>
        <v>#REF!</v>
      </c>
      <c r="P43" s="167" t="e">
        <f t="shared" si="18"/>
        <v>#REF!</v>
      </c>
      <c r="Q43" s="165" t="e">
        <f t="shared" si="15"/>
        <v>#REF!</v>
      </c>
      <c r="R43" s="37"/>
      <c r="S43" s="94"/>
      <c r="T43" s="147">
        <f t="shared" si="9"/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 t="shared" si="13"/>
        <v>85</v>
      </c>
      <c r="F44" s="156">
        <v>86.37</v>
      </c>
      <c r="G44" s="162">
        <f t="shared" si="16"/>
        <v>1.3700000000000045</v>
      </c>
      <c r="H44" s="164"/>
      <c r="I44" s="165">
        <f t="shared" si="17"/>
        <v>1.3700000000000045</v>
      </c>
      <c r="J44" s="165"/>
      <c r="K44" s="165">
        <v>0</v>
      </c>
      <c r="L44" s="165">
        <f t="shared" si="1"/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9"/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 t="shared" si="13"/>
        <v>700</v>
      </c>
      <c r="F45" s="156">
        <v>791.33</v>
      </c>
      <c r="G45" s="162">
        <f t="shared" si="16"/>
        <v>91.33000000000004</v>
      </c>
      <c r="H45" s="164">
        <f t="shared" si="14"/>
        <v>113.04714285714286</v>
      </c>
      <c r="I45" s="165">
        <f t="shared" si="17"/>
        <v>91.33000000000004</v>
      </c>
      <c r="J45" s="165">
        <f t="shared" si="19"/>
        <v>113.04714285714286</v>
      </c>
      <c r="K45" s="165">
        <v>0</v>
      </c>
      <c r="L45" s="165">
        <f t="shared" si="1"/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8"/>
        <v>#REF!</v>
      </c>
      <c r="Q45" s="165" t="e">
        <f t="shared" si="15"/>
        <v>#REF!</v>
      </c>
      <c r="R45" s="37"/>
      <c r="S45" s="94"/>
      <c r="T45" s="147">
        <f t="shared" si="9"/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20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9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 aca="true" t="shared" si="21" ref="E47:E57">D47</f>
        <v>11100</v>
      </c>
      <c r="F47" s="156">
        <v>11422.5</v>
      </c>
      <c r="G47" s="162">
        <f t="shared" si="16"/>
        <v>322.5</v>
      </c>
      <c r="H47" s="164">
        <f t="shared" si="14"/>
        <v>102.9054054054054</v>
      </c>
      <c r="I47" s="165">
        <f t="shared" si="17"/>
        <v>322.5</v>
      </c>
      <c r="J47" s="165">
        <f t="shared" si="19"/>
        <v>102.9054054054054</v>
      </c>
      <c r="K47" s="165">
        <v>9902.75</v>
      </c>
      <c r="L47" s="165">
        <f t="shared" si="1"/>
        <v>1519.75</v>
      </c>
      <c r="M47" s="218">
        <f t="shared" si="20"/>
        <v>1.1534674711570019</v>
      </c>
      <c r="N47" s="164" t="e">
        <f>E47-#REF!</f>
        <v>#REF!</v>
      </c>
      <c r="O47" s="168" t="e">
        <f>F47-#REF!</f>
        <v>#REF!</v>
      </c>
      <c r="P47" s="167" t="e">
        <f t="shared" si="18"/>
        <v>#REF!</v>
      </c>
      <c r="Q47" s="165" t="e">
        <f t="shared" si="15"/>
        <v>#REF!</v>
      </c>
      <c r="R47" s="37"/>
      <c r="S47" s="94"/>
      <c r="T47" s="147">
        <f t="shared" si="9"/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 t="shared" si="21"/>
        <v>300</v>
      </c>
      <c r="F48" s="156">
        <v>323.25</v>
      </c>
      <c r="G48" s="162">
        <f t="shared" si="16"/>
        <v>23.25</v>
      </c>
      <c r="H48" s="164">
        <f t="shared" si="14"/>
        <v>107.74999999999999</v>
      </c>
      <c r="I48" s="165">
        <f t="shared" si="17"/>
        <v>23.25</v>
      </c>
      <c r="J48" s="165">
        <f t="shared" si="19"/>
        <v>107.74999999999999</v>
      </c>
      <c r="K48" s="165">
        <v>0</v>
      </c>
      <c r="L48" s="165">
        <f t="shared" si="1"/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8"/>
        <v>#REF!</v>
      </c>
      <c r="Q48" s="165"/>
      <c r="R48" s="37"/>
      <c r="S48" s="94"/>
      <c r="T48" s="147">
        <f t="shared" si="9"/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 t="shared" si="21"/>
        <v>19</v>
      </c>
      <c r="F49" s="156">
        <v>22.36</v>
      </c>
      <c r="G49" s="162">
        <f t="shared" si="16"/>
        <v>3.3599999999999994</v>
      </c>
      <c r="H49" s="164">
        <f t="shared" si="14"/>
        <v>117.6842105263158</v>
      </c>
      <c r="I49" s="165">
        <f t="shared" si="17"/>
        <v>3.3599999999999994</v>
      </c>
      <c r="J49" s="165">
        <f t="shared" si="19"/>
        <v>117.6842105263158</v>
      </c>
      <c r="K49" s="165">
        <v>0</v>
      </c>
      <c r="L49" s="165">
        <f t="shared" si="1"/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8"/>
        <v>#REF!</v>
      </c>
      <c r="Q49" s="165" t="e">
        <f t="shared" si="15"/>
        <v>#REF!</v>
      </c>
      <c r="R49" s="37"/>
      <c r="S49" s="94"/>
      <c r="T49" s="147">
        <f t="shared" si="9"/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 t="shared" si="21"/>
        <v>7230</v>
      </c>
      <c r="F50" s="156">
        <v>7230.43</v>
      </c>
      <c r="G50" s="162">
        <f t="shared" si="16"/>
        <v>0.43000000000029104</v>
      </c>
      <c r="H50" s="164">
        <f t="shared" si="14"/>
        <v>100.00594744121716</v>
      </c>
      <c r="I50" s="165">
        <f t="shared" si="17"/>
        <v>0.43000000000029104</v>
      </c>
      <c r="J50" s="165">
        <f t="shared" si="19"/>
        <v>100.00594744121716</v>
      </c>
      <c r="K50" s="165">
        <v>8872.3</v>
      </c>
      <c r="L50" s="165">
        <f t="shared" si="1"/>
        <v>-1641.869999999999</v>
      </c>
      <c r="M50" s="218">
        <f t="shared" si="20"/>
        <v>0.81494426473406</v>
      </c>
      <c r="N50" s="164" t="e">
        <f>E50-#REF!</f>
        <v>#REF!</v>
      </c>
      <c r="O50" s="168" t="e">
        <f>F50-#REF!</f>
        <v>#REF!</v>
      </c>
      <c r="P50" s="167" t="e">
        <f t="shared" si="18"/>
        <v>#REF!</v>
      </c>
      <c r="Q50" s="165" t="e">
        <f t="shared" si="15"/>
        <v>#REF!</v>
      </c>
      <c r="R50" s="37"/>
      <c r="S50" s="94"/>
      <c r="T50" s="147">
        <f t="shared" si="9"/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 t="shared" si="21"/>
        <v>5150.04</v>
      </c>
      <c r="F51" s="156">
        <v>5161.34</v>
      </c>
      <c r="G51" s="162">
        <f t="shared" si="16"/>
        <v>11.300000000000182</v>
      </c>
      <c r="H51" s="164">
        <f t="shared" si="14"/>
        <v>100.21941577152799</v>
      </c>
      <c r="I51" s="165">
        <f t="shared" si="17"/>
        <v>11.300000000000182</v>
      </c>
      <c r="J51" s="165">
        <f t="shared" si="19"/>
        <v>100.21941577152799</v>
      </c>
      <c r="K51" s="165">
        <v>7235.66</v>
      </c>
      <c r="L51" s="165">
        <f t="shared" si="1"/>
        <v>-2074.3199999999997</v>
      </c>
      <c r="M51" s="218">
        <f t="shared" si="20"/>
        <v>0.7133198630118055</v>
      </c>
      <c r="N51" s="164" t="e">
        <f>E51-#REF!</f>
        <v>#REF!</v>
      </c>
      <c r="O51" s="168" t="e">
        <f>F51-#REF!</f>
        <v>#REF!</v>
      </c>
      <c r="P51" s="167" t="e">
        <f t="shared" si="18"/>
        <v>#REF!</v>
      </c>
      <c r="Q51" s="165" t="e">
        <f t="shared" si="15"/>
        <v>#REF!</v>
      </c>
      <c r="R51" s="37"/>
      <c r="S51" s="94"/>
      <c r="T51" s="147">
        <f t="shared" si="9"/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 t="shared" si="21"/>
        <v>795</v>
      </c>
      <c r="F52" s="140">
        <v>835.21</v>
      </c>
      <c r="G52" s="34">
        <f t="shared" si="16"/>
        <v>40.210000000000036</v>
      </c>
      <c r="H52" s="30">
        <f t="shared" si="14"/>
        <v>105.05786163522014</v>
      </c>
      <c r="I52" s="104">
        <f t="shared" si="17"/>
        <v>40.210000000000036</v>
      </c>
      <c r="J52" s="104">
        <f t="shared" si="19"/>
        <v>105.05786163522014</v>
      </c>
      <c r="K52" s="104">
        <v>1089.08</v>
      </c>
      <c r="L52" s="104">
        <f>F52-K52</f>
        <v>-253.8699999999999</v>
      </c>
      <c r="M52" s="109">
        <f t="shared" si="20"/>
        <v>0.7668949939398392</v>
      </c>
      <c r="N52" s="164" t="e">
        <f>E52-#REF!</f>
        <v>#REF!</v>
      </c>
      <c r="O52" s="168" t="e">
        <f>F52-#REF!</f>
        <v>#REF!</v>
      </c>
      <c r="P52" s="106" t="e">
        <f t="shared" si="18"/>
        <v>#REF!</v>
      </c>
      <c r="Q52" s="119" t="e">
        <f t="shared" si="15"/>
        <v>#REF!</v>
      </c>
      <c r="R52" s="37"/>
      <c r="S52" s="94"/>
      <c r="T52" s="147">
        <f t="shared" si="9"/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 t="shared" si="21"/>
        <v>5.04</v>
      </c>
      <c r="F53" s="140">
        <v>0.38</v>
      </c>
      <c r="G53" s="34">
        <f t="shared" si="16"/>
        <v>-4.66</v>
      </c>
      <c r="H53" s="30">
        <f t="shared" si="14"/>
        <v>7.5396825396825395</v>
      </c>
      <c r="I53" s="104">
        <f t="shared" si="17"/>
        <v>-4.66</v>
      </c>
      <c r="J53" s="104">
        <f t="shared" si="19"/>
        <v>7.5396825396825395</v>
      </c>
      <c r="K53" s="104">
        <v>44.23</v>
      </c>
      <c r="L53" s="104">
        <f>F53-K53</f>
        <v>-43.849999999999994</v>
      </c>
      <c r="M53" s="109">
        <f t="shared" si="20"/>
        <v>0.008591453764413295</v>
      </c>
      <c r="N53" s="164" t="e">
        <f>E53-#REF!</f>
        <v>#REF!</v>
      </c>
      <c r="O53" s="168" t="e">
        <f>F53-#REF!</f>
        <v>#REF!</v>
      </c>
      <c r="P53" s="106" t="e">
        <f t="shared" si="18"/>
        <v>#REF!</v>
      </c>
      <c r="Q53" s="119" t="e">
        <f t="shared" si="15"/>
        <v>#REF!</v>
      </c>
      <c r="R53" s="37"/>
      <c r="S53" s="94"/>
      <c r="T53" s="147">
        <f t="shared" si="9"/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 t="shared" si="21"/>
        <v>1</v>
      </c>
      <c r="F54" s="140">
        <v>0.02</v>
      </c>
      <c r="G54" s="34">
        <f t="shared" si="16"/>
        <v>-0.98</v>
      </c>
      <c r="H54" s="30"/>
      <c r="I54" s="104">
        <f t="shared" si="17"/>
        <v>-0.98</v>
      </c>
      <c r="J54" s="104">
        <f t="shared" si="19"/>
        <v>2</v>
      </c>
      <c r="K54" s="104">
        <v>0.75</v>
      </c>
      <c r="L54" s="104">
        <f>F54-K54</f>
        <v>-0.73</v>
      </c>
      <c r="M54" s="109">
        <f t="shared" si="20"/>
        <v>0.02666666666666667</v>
      </c>
      <c r="N54" s="164" t="e">
        <f>E54-#REF!</f>
        <v>#REF!</v>
      </c>
      <c r="O54" s="168" t="e">
        <f>F54-#REF!</f>
        <v>#REF!</v>
      </c>
      <c r="P54" s="106" t="e">
        <f t="shared" si="18"/>
        <v>#REF!</v>
      </c>
      <c r="Q54" s="119"/>
      <c r="R54" s="37"/>
      <c r="S54" s="94"/>
      <c r="T54" s="147">
        <f t="shared" si="9"/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 t="shared" si="21"/>
        <v>4349</v>
      </c>
      <c r="F55" s="140">
        <v>4325.74</v>
      </c>
      <c r="G55" s="34">
        <f t="shared" si="16"/>
        <v>-23.26000000000022</v>
      </c>
      <c r="H55" s="30">
        <f t="shared" si="14"/>
        <v>99.46516440561048</v>
      </c>
      <c r="I55" s="104">
        <f t="shared" si="17"/>
        <v>-23.26000000000022</v>
      </c>
      <c r="J55" s="104">
        <f t="shared" si="19"/>
        <v>99.46516440561048</v>
      </c>
      <c r="K55" s="104">
        <v>6101.6</v>
      </c>
      <c r="L55" s="104">
        <f>F55-K55</f>
        <v>-1775.8600000000006</v>
      </c>
      <c r="M55" s="109">
        <f t="shared" si="20"/>
        <v>0.7089517503605611</v>
      </c>
      <c r="N55" s="164" t="e">
        <f>E55-#REF!</f>
        <v>#REF!</v>
      </c>
      <c r="O55" s="168" t="e">
        <f>F55-#REF!</f>
        <v>#REF!</v>
      </c>
      <c r="P55" s="106" t="e">
        <f t="shared" si="18"/>
        <v>#REF!</v>
      </c>
      <c r="Q55" s="119" t="e">
        <f t="shared" si="15"/>
        <v>#REF!</v>
      </c>
      <c r="R55" s="37"/>
      <c r="S55" s="94"/>
      <c r="T55" s="147">
        <f t="shared" si="9"/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 t="shared" si="21"/>
        <v>2</v>
      </c>
      <c r="F56" s="156">
        <v>2.46</v>
      </c>
      <c r="G56" s="162">
        <f t="shared" si="16"/>
        <v>0.45999999999999996</v>
      </c>
      <c r="H56" s="164">
        <f t="shared" si="14"/>
        <v>123</v>
      </c>
      <c r="I56" s="165">
        <f t="shared" si="17"/>
        <v>0.45999999999999996</v>
      </c>
      <c r="J56" s="165">
        <f t="shared" si="19"/>
        <v>123</v>
      </c>
      <c r="K56" s="165">
        <v>10.65</v>
      </c>
      <c r="L56" s="165">
        <f>F56-K56</f>
        <v>-8.190000000000001</v>
      </c>
      <c r="M56" s="218">
        <f t="shared" si="20"/>
        <v>0.23098591549295774</v>
      </c>
      <c r="N56" s="164" t="e">
        <f>E56-#REF!</f>
        <v>#REF!</v>
      </c>
      <c r="O56" s="168" t="e">
        <f>F56-#REF!</f>
        <v>#REF!</v>
      </c>
      <c r="P56" s="167" t="e">
        <f t="shared" si="18"/>
        <v>#REF!</v>
      </c>
      <c r="Q56" s="165"/>
      <c r="R56" s="37"/>
      <c r="S56" s="94"/>
      <c r="T56" s="147">
        <f t="shared" si="9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 t="shared" si="21"/>
        <v>6200</v>
      </c>
      <c r="F57" s="156">
        <v>6525.16</v>
      </c>
      <c r="G57" s="162">
        <f t="shared" si="16"/>
        <v>325.15999999999985</v>
      </c>
      <c r="H57" s="164">
        <f t="shared" si="14"/>
        <v>105.24451612903225</v>
      </c>
      <c r="I57" s="165">
        <f t="shared" si="17"/>
        <v>325.15999999999985</v>
      </c>
      <c r="J57" s="165">
        <f t="shared" si="19"/>
        <v>105.24451612903225</v>
      </c>
      <c r="K57" s="165">
        <v>4790.19</v>
      </c>
      <c r="L57" s="165">
        <f aca="true" t="shared" si="22" ref="L57:L63">F57-K57</f>
        <v>1734.9700000000003</v>
      </c>
      <c r="M57" s="218">
        <f t="shared" si="20"/>
        <v>1.362192313874815</v>
      </c>
      <c r="N57" s="164" t="e">
        <f>E57-#REF!</f>
        <v>#REF!</v>
      </c>
      <c r="O57" s="168" t="e">
        <f>F57-#REF!</f>
        <v>#REF!</v>
      </c>
      <c r="P57" s="167" t="e">
        <f t="shared" si="18"/>
        <v>#REF!</v>
      </c>
      <c r="Q57" s="165" t="e">
        <f t="shared" si="15"/>
        <v>#REF!</v>
      </c>
      <c r="R57" s="37"/>
      <c r="S57" s="94"/>
      <c r="T57" s="147">
        <f t="shared" si="9"/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6"/>
        <v>0</v>
      </c>
      <c r="H58" s="164" t="e">
        <f t="shared" si="14"/>
        <v>#DIV/0!</v>
      </c>
      <c r="I58" s="165">
        <f t="shared" si="17"/>
        <v>0</v>
      </c>
      <c r="J58" s="165" t="e">
        <f t="shared" si="19"/>
        <v>#DIV/0!</v>
      </c>
      <c r="K58" s="165"/>
      <c r="L58" s="165">
        <f t="shared" si="22"/>
        <v>0</v>
      </c>
      <c r="M58" s="218" t="e">
        <f t="shared" si="20"/>
        <v>#DIV/0!</v>
      </c>
      <c r="N58" s="164" t="e">
        <f>E58-#REF!</f>
        <v>#REF!</v>
      </c>
      <c r="O58" s="168" t="e">
        <f>F58-#REF!</f>
        <v>#REF!</v>
      </c>
      <c r="P58" s="167" t="e">
        <f t="shared" si="18"/>
        <v>#REF!</v>
      </c>
      <c r="Q58" s="165" t="e">
        <f t="shared" si="15"/>
        <v>#REF!</v>
      </c>
      <c r="R58" s="37"/>
      <c r="S58" s="94"/>
      <c r="T58" s="147">
        <f t="shared" si="9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 t="shared" si="22"/>
        <v>186.95000000000005</v>
      </c>
      <c r="M59" s="218">
        <f t="shared" si="20"/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9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 t="shared" si="16"/>
        <v>0</v>
      </c>
      <c r="H60" s="164"/>
      <c r="I60" s="165">
        <f t="shared" si="17"/>
        <v>0</v>
      </c>
      <c r="J60" s="165"/>
      <c r="K60" s="166"/>
      <c r="L60" s="165">
        <f t="shared" si="22"/>
        <v>0</v>
      </c>
      <c r="M60" s="218" t="e">
        <f t="shared" si="20"/>
        <v>#DIV/0!</v>
      </c>
      <c r="N60" s="164" t="e">
        <f>E60-#REF!</f>
        <v>#REF!</v>
      </c>
      <c r="O60" s="168" t="e">
        <f>F60-#REF!</f>
        <v>#REF!</v>
      </c>
      <c r="P60" s="167" t="e">
        <f t="shared" si="18"/>
        <v>#REF!</v>
      </c>
      <c r="Q60" s="165"/>
      <c r="R60" s="37"/>
      <c r="S60" s="94"/>
      <c r="T60" s="147">
        <f t="shared" si="9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 t="shared" si="16"/>
        <v>68.72</v>
      </c>
      <c r="H61" s="164">
        <f t="shared" si="14"/>
        <v>143.49367088607593</v>
      </c>
      <c r="I61" s="165">
        <f t="shared" si="17"/>
        <v>68.72</v>
      </c>
      <c r="J61" s="165">
        <f t="shared" si="19"/>
        <v>143.49367088607593</v>
      </c>
      <c r="K61" s="165">
        <v>20.05</v>
      </c>
      <c r="L61" s="165">
        <f t="shared" si="22"/>
        <v>206.67</v>
      </c>
      <c r="M61" s="218">
        <f t="shared" si="20"/>
        <v>11.307730673316708</v>
      </c>
      <c r="N61" s="164" t="e">
        <f>E61-#REF!</f>
        <v>#REF!</v>
      </c>
      <c r="O61" s="168" t="e">
        <f>F61-#REF!</f>
        <v>#REF!</v>
      </c>
      <c r="P61" s="167" t="e">
        <f t="shared" si="18"/>
        <v>#REF!</v>
      </c>
      <c r="Q61" s="165"/>
      <c r="R61" s="37"/>
      <c r="S61" s="94"/>
      <c r="T61" s="147">
        <f t="shared" si="9"/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 t="shared" si="16"/>
        <v>0.5199999999999996</v>
      </c>
      <c r="H62" s="164">
        <f t="shared" si="14"/>
        <v>104</v>
      </c>
      <c r="I62" s="165">
        <f t="shared" si="17"/>
        <v>0.5199999999999996</v>
      </c>
      <c r="J62" s="165">
        <f t="shared" si="19"/>
        <v>104</v>
      </c>
      <c r="K62" s="165">
        <v>26.28</v>
      </c>
      <c r="L62" s="165">
        <f t="shared" si="22"/>
        <v>-12.760000000000002</v>
      </c>
      <c r="M62" s="218">
        <f t="shared" si="20"/>
        <v>0.5144596651445966</v>
      </c>
      <c r="N62" s="164" t="e">
        <f>E62-#REF!</f>
        <v>#REF!</v>
      </c>
      <c r="O62" s="168" t="e">
        <f>F62-#REF!</f>
        <v>#REF!</v>
      </c>
      <c r="P62" s="167" t="e">
        <f t="shared" si="18"/>
        <v>#REF!</v>
      </c>
      <c r="Q62" s="165" t="e">
        <f t="shared" si="15"/>
        <v>#REF!</v>
      </c>
      <c r="R62" s="37"/>
      <c r="S62" s="94"/>
      <c r="T62" s="147">
        <f t="shared" si="9"/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 t="shared" si="16"/>
        <v>6.57</v>
      </c>
      <c r="H63" s="164"/>
      <c r="I63" s="165">
        <f t="shared" si="17"/>
        <v>6.57</v>
      </c>
      <c r="J63" s="165"/>
      <c r="K63" s="165">
        <v>0.58</v>
      </c>
      <c r="L63" s="165">
        <f t="shared" si="22"/>
        <v>6.79</v>
      </c>
      <c r="M63" s="218">
        <f t="shared" si="20"/>
        <v>12.706896551724139</v>
      </c>
      <c r="N63" s="164" t="e">
        <f>E63-#REF!</f>
        <v>#REF!</v>
      </c>
      <c r="O63" s="168" t="e">
        <f>F63-#REF!</f>
        <v>#REF!</v>
      </c>
      <c r="P63" s="167" t="e">
        <f t="shared" si="18"/>
        <v>#REF!</v>
      </c>
      <c r="Q63" s="165"/>
      <c r="R63" s="37"/>
      <c r="S63" s="94"/>
      <c r="T63" s="147">
        <f t="shared" si="9"/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9"/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9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9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9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9"/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9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9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9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9"/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 aca="true" t="shared" si="23" ref="G73:G83">F73-E73</f>
        <v>1618.9899999999998</v>
      </c>
      <c r="H73" s="164"/>
      <c r="I73" s="167">
        <f aca="true" t="shared" si="24" ref="I73:I83">F73-D73</f>
        <v>1618.9899999999998</v>
      </c>
      <c r="J73" s="167">
        <f>F73/D73*100</f>
        <v>153.96633333333332</v>
      </c>
      <c r="K73" s="167">
        <v>619.07</v>
      </c>
      <c r="L73" s="167">
        <f aca="true" t="shared" si="25" ref="L73:L83">F73-K73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 aca="true" t="shared" si="26" ref="P73:P86">O73-N73</f>
        <v>#REF!</v>
      </c>
      <c r="Q73" s="167" t="e">
        <f>O73/N73*100</f>
        <v>#REF!</v>
      </c>
      <c r="R73" s="38"/>
      <c r="S73" s="97"/>
      <c r="T73" s="147">
        <f t="shared" si="9"/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 t="shared" si="23"/>
        <v>140.77000000000044</v>
      </c>
      <c r="H74" s="164">
        <f>F74/E74*100</f>
        <v>101.36736279747451</v>
      </c>
      <c r="I74" s="167">
        <f t="shared" si="24"/>
        <v>140.77000000000044</v>
      </c>
      <c r="J74" s="167">
        <f>F74/D74*100</f>
        <v>101.36736279747451</v>
      </c>
      <c r="K74" s="167">
        <v>8374.15</v>
      </c>
      <c r="L74" s="167">
        <f t="shared" si="25"/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 t="shared" si="26"/>
        <v>#REF!</v>
      </c>
      <c r="Q74" s="167" t="e">
        <f>O74/N74*100</f>
        <v>#REF!</v>
      </c>
      <c r="R74" s="38"/>
      <c r="S74" s="97"/>
      <c r="T74" s="147">
        <f aca="true" t="shared" si="27" ref="T74:T90">D74-E74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 t="shared" si="23"/>
        <v>193.1900000000005</v>
      </c>
      <c r="H75" s="164">
        <f>F75/E75*100</f>
        <v>101.55798387096775</v>
      </c>
      <c r="I75" s="167">
        <f t="shared" si="24"/>
        <v>193.1900000000005</v>
      </c>
      <c r="J75" s="167">
        <f>F75/D75*100</f>
        <v>101.55798387096775</v>
      </c>
      <c r="K75" s="167">
        <v>2315.93</v>
      </c>
      <c r="L75" s="167">
        <f t="shared" si="25"/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 t="shared" si="26"/>
        <v>#REF!</v>
      </c>
      <c r="Q75" s="167" t="e">
        <f>O75/N75*100</f>
        <v>#REF!</v>
      </c>
      <c r="R75" s="38"/>
      <c r="S75" s="97"/>
      <c r="T75" s="147">
        <f t="shared" si="27"/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 t="shared" si="23"/>
        <v>1</v>
      </c>
      <c r="H76" s="164">
        <f>F76/E76*100</f>
        <v>108.33333333333333</v>
      </c>
      <c r="I76" s="167">
        <f t="shared" si="24"/>
        <v>1</v>
      </c>
      <c r="J76" s="167">
        <f>F76/D76*100</f>
        <v>108.33333333333333</v>
      </c>
      <c r="K76" s="167">
        <v>0</v>
      </c>
      <c r="L76" s="167">
        <f t="shared" si="25"/>
        <v>13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6"/>
        <v>#REF!</v>
      </c>
      <c r="Q76" s="167" t="e">
        <f>O76/N76*100</f>
        <v>#REF!</v>
      </c>
      <c r="R76" s="38"/>
      <c r="S76" s="136"/>
      <c r="T76" s="147">
        <f t="shared" si="27"/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 t="shared" si="23"/>
        <v>1953.9500000000007</v>
      </c>
      <c r="H77" s="186">
        <f>F77/E77*100</f>
        <v>107.60084801804956</v>
      </c>
      <c r="I77" s="187">
        <f t="shared" si="24"/>
        <v>1953.9500000000007</v>
      </c>
      <c r="J77" s="187">
        <f>F77/D77*100</f>
        <v>107.60084801804956</v>
      </c>
      <c r="K77" s="187">
        <v>11309.15</v>
      </c>
      <c r="L77" s="187">
        <f t="shared" si="25"/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 t="shared" si="26"/>
        <v>#REF!</v>
      </c>
      <c r="Q77" s="187" t="e">
        <f>O77/N77*100</f>
        <v>#REF!</v>
      </c>
      <c r="R77" s="39"/>
      <c r="S77" s="116"/>
      <c r="T77" s="147">
        <f t="shared" si="27"/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 t="shared" si="23"/>
        <v>19.989999999999995</v>
      </c>
      <c r="H78" s="164"/>
      <c r="I78" s="167">
        <f t="shared" si="24"/>
        <v>19.989999999999995</v>
      </c>
      <c r="J78" s="167"/>
      <c r="K78" s="167">
        <v>1.07</v>
      </c>
      <c r="L78" s="167">
        <f t="shared" si="25"/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 t="shared" si="26"/>
        <v>#REF!</v>
      </c>
      <c r="Q78" s="167"/>
      <c r="R78" s="38"/>
      <c r="S78" s="97"/>
      <c r="T78" s="147">
        <f t="shared" si="27"/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23"/>
        <v>0</v>
      </c>
      <c r="H79" s="164"/>
      <c r="I79" s="167">
        <f t="shared" si="24"/>
        <v>0</v>
      </c>
      <c r="J79" s="190"/>
      <c r="K79" s="167">
        <v>0</v>
      </c>
      <c r="L79" s="167">
        <f t="shared" si="25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6"/>
        <v>#REF!</v>
      </c>
      <c r="Q79" s="190"/>
      <c r="R79" s="41"/>
      <c r="S79" s="99"/>
      <c r="T79" s="147">
        <f t="shared" si="27"/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 t="shared" si="23"/>
        <v>2.680000000000291</v>
      </c>
      <c r="H80" s="164">
        <f>F80/E80*100</f>
        <v>100.03209580838323</v>
      </c>
      <c r="I80" s="167">
        <f t="shared" si="24"/>
        <v>2.680000000000291</v>
      </c>
      <c r="J80" s="167">
        <f>F80/D80*100</f>
        <v>100.03209580838323</v>
      </c>
      <c r="K80" s="167">
        <v>0</v>
      </c>
      <c r="L80" s="167">
        <f t="shared" si="25"/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7"/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 t="shared" si="23"/>
        <v>1.48</v>
      </c>
      <c r="H81" s="164"/>
      <c r="I81" s="167">
        <f t="shared" si="24"/>
        <v>1.48</v>
      </c>
      <c r="J81" s="167"/>
      <c r="K81" s="167">
        <v>1.43</v>
      </c>
      <c r="L81" s="167">
        <f t="shared" si="25"/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 t="shared" si="26"/>
        <v>#REF!</v>
      </c>
      <c r="Q81" s="167"/>
      <c r="R81" s="38"/>
      <c r="S81" s="97"/>
      <c r="T81" s="147">
        <f t="shared" si="27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 t="shared" si="24"/>
        <v>24.149999999999636</v>
      </c>
      <c r="J82" s="187">
        <f>F82/D82*100</f>
        <v>100.2875</v>
      </c>
      <c r="K82" s="187">
        <v>2.5</v>
      </c>
      <c r="L82" s="187">
        <f t="shared" si="25"/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7"/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 t="shared" si="23"/>
        <v>8.329999999999998</v>
      </c>
      <c r="H83" s="164">
        <f>F83/E83*100</f>
        <v>130.85185185185185</v>
      </c>
      <c r="I83" s="167">
        <f t="shared" si="24"/>
        <v>8.329999999999998</v>
      </c>
      <c r="J83" s="167">
        <f>F83/D83*100</f>
        <v>130.85185185185185</v>
      </c>
      <c r="K83" s="167">
        <v>38.99</v>
      </c>
      <c r="L83" s="167">
        <f t="shared" si="25"/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 t="shared" si="26"/>
        <v>#REF!</v>
      </c>
      <c r="Q83" s="167" t="e">
        <f>O83/N83</f>
        <v>#REF!</v>
      </c>
      <c r="R83" s="38"/>
      <c r="S83" s="97"/>
      <c r="T83" s="147">
        <f t="shared" si="27"/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6"/>
        <v>#REF!</v>
      </c>
      <c r="Q84" s="167"/>
      <c r="R84" s="38"/>
      <c r="S84" s="97"/>
      <c r="T84" s="147">
        <f t="shared" si="27"/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 t="shared" si="26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7"/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 t="shared" si="26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7"/>
        <v>0</v>
      </c>
    </row>
    <row r="87" spans="2:20" ht="15">
      <c r="B87" s="20" t="s">
        <v>34</v>
      </c>
      <c r="O87" s="25"/>
      <c r="T87" s="147">
        <f t="shared" si="27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7"/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14"/>
      <c r="H89" s="314"/>
      <c r="I89" s="314"/>
      <c r="J89" s="314"/>
      <c r="K89" s="84"/>
      <c r="L89" s="84"/>
      <c r="M89" s="84"/>
      <c r="Q89" s="25"/>
      <c r="R89" s="25"/>
      <c r="T89" s="147" t="e">
        <f t="shared" si="27"/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03"/>
      <c r="P90" s="303"/>
      <c r="T90" s="147">
        <f t="shared" si="27"/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297"/>
      <c r="H91" s="297"/>
      <c r="I91" s="118"/>
      <c r="J91" s="300"/>
      <c r="K91" s="300"/>
      <c r="L91" s="300"/>
      <c r="M91" s="300"/>
      <c r="N91" s="300"/>
      <c r="O91" s="303"/>
      <c r="P91" s="303"/>
    </row>
    <row r="92" spans="3:16" ht="15.75" customHeight="1">
      <c r="C92" s="81">
        <v>42732</v>
      </c>
      <c r="D92" s="29">
        <v>19085.6</v>
      </c>
      <c r="F92" s="68"/>
      <c r="G92" s="297"/>
      <c r="H92" s="297"/>
      <c r="I92" s="118"/>
      <c r="J92" s="304"/>
      <c r="K92" s="304"/>
      <c r="L92" s="304"/>
      <c r="M92" s="304"/>
      <c r="N92" s="304"/>
      <c r="O92" s="303"/>
      <c r="P92" s="303"/>
    </row>
    <row r="93" spans="3:14" ht="15.75" customHeight="1">
      <c r="C93" s="81"/>
      <c r="F93" s="68"/>
      <c r="G93" s="299"/>
      <c r="H93" s="299"/>
      <c r="I93" s="124"/>
      <c r="J93" s="300"/>
      <c r="K93" s="300"/>
      <c r="L93" s="300"/>
      <c r="M93" s="300"/>
      <c r="N93" s="300"/>
    </row>
    <row r="94" spans="2:14" ht="18.75" customHeight="1">
      <c r="B94" s="301" t="s">
        <v>56</v>
      </c>
      <c r="C94" s="302"/>
      <c r="D94" s="133">
        <f>'[1]залишки  (2)'!$G$6/1000</f>
        <v>9.33719</v>
      </c>
      <c r="E94" s="69"/>
      <c r="F94" s="125" t="s">
        <v>107</v>
      </c>
      <c r="G94" s="297"/>
      <c r="H94" s="297"/>
      <c r="I94" s="126"/>
      <c r="J94" s="300"/>
      <c r="K94" s="300"/>
      <c r="L94" s="300"/>
      <c r="M94" s="300"/>
      <c r="N94" s="300"/>
    </row>
    <row r="95" spans="6:13" ht="9" customHeight="1">
      <c r="F95" s="68"/>
      <c r="G95" s="297"/>
      <c r="H95" s="297"/>
      <c r="I95" s="68"/>
      <c r="J95" s="69"/>
      <c r="K95" s="69"/>
      <c r="L95" s="69"/>
      <c r="M95" s="69"/>
    </row>
    <row r="96" spans="2:13" ht="22.5" customHeight="1" hidden="1">
      <c r="B96" s="295" t="s">
        <v>59</v>
      </c>
      <c r="C96" s="296"/>
      <c r="D96" s="80">
        <v>0</v>
      </c>
      <c r="E96" s="51" t="s">
        <v>24</v>
      </c>
      <c r="F96" s="68"/>
      <c r="G96" s="297"/>
      <c r="H96" s="297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298"/>
      <c r="P98" s="298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 aca="true" t="shared" si="28" ref="K100:P100">K40+K41+K43+K45+K47+K48+K49+K50+K51+K57+K61+K44</f>
        <v>50668.47</v>
      </c>
      <c r="L100" s="29">
        <f t="shared" si="28"/>
        <v>17530.610000000004</v>
      </c>
      <c r="M100" s="29">
        <f t="shared" si="28"/>
        <v>17.329711026889246</v>
      </c>
      <c r="N100" s="29" t="e">
        <f t="shared" si="28"/>
        <v>#REF!</v>
      </c>
      <c r="O100" s="229" t="e">
        <f t="shared" si="28"/>
        <v>#REF!</v>
      </c>
      <c r="P100" s="29" t="e">
        <f t="shared" si="28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 aca="true" t="shared" si="29" ref="E101:P101">SUM(E99:E100)</f>
        <v>1042725.7300000001</v>
      </c>
      <c r="F101" s="229">
        <f t="shared" si="29"/>
        <v>1053569.51</v>
      </c>
      <c r="G101" s="29">
        <f t="shared" si="29"/>
        <v>10843.779999999912</v>
      </c>
      <c r="H101" s="230">
        <f>F101/E101</f>
        <v>1.0103994556651057</v>
      </c>
      <c r="I101" s="29">
        <f t="shared" si="29"/>
        <v>10843.779999999912</v>
      </c>
      <c r="J101" s="230">
        <f>F101/D101</f>
        <v>1.0103994556651057</v>
      </c>
      <c r="K101" s="29">
        <f t="shared" si="29"/>
        <v>50668.47</v>
      </c>
      <c r="L101" s="29">
        <f t="shared" si="29"/>
        <v>17530.610000000004</v>
      </c>
      <c r="M101" s="29">
        <f t="shared" si="29"/>
        <v>17.329711026889246</v>
      </c>
      <c r="N101" s="29" t="e">
        <f t="shared" si="29"/>
        <v>#REF!</v>
      </c>
      <c r="O101" s="229" t="e">
        <f t="shared" si="29"/>
        <v>#REF!</v>
      </c>
      <c r="P101" s="29" t="e">
        <f t="shared" si="29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30" ref="E102:U102">E64-E101</f>
        <v>0</v>
      </c>
      <c r="F102" s="29">
        <f t="shared" si="30"/>
        <v>0</v>
      </c>
      <c r="G102" s="29">
        <f t="shared" si="30"/>
        <v>2.3283064365386963E-10</v>
      </c>
      <c r="H102" s="230"/>
      <c r="I102" s="29">
        <f t="shared" si="30"/>
        <v>2.3283064365386963E-10</v>
      </c>
      <c r="J102" s="230"/>
      <c r="K102" s="29">
        <f t="shared" si="30"/>
        <v>672732.15</v>
      </c>
      <c r="L102" s="29">
        <f t="shared" si="30"/>
        <v>312638.28000000026</v>
      </c>
      <c r="M102" s="29">
        <f t="shared" si="30"/>
        <v>-15.873298797107081</v>
      </c>
      <c r="N102" s="29" t="e">
        <f t="shared" si="30"/>
        <v>#REF!</v>
      </c>
      <c r="O102" s="29" t="e">
        <f t="shared" si="30"/>
        <v>#REF!</v>
      </c>
      <c r="P102" s="29" t="e">
        <f t="shared" si="30"/>
        <v>#REF!</v>
      </c>
      <c r="Q102" s="29"/>
      <c r="R102" s="29" t="e">
        <f t="shared" si="30"/>
        <v>#REF!</v>
      </c>
      <c r="S102" s="29" t="e">
        <f t="shared" si="30"/>
        <v>#REF!</v>
      </c>
      <c r="T102" s="29">
        <f t="shared" si="30"/>
        <v>0</v>
      </c>
      <c r="U102" s="29">
        <f t="shared" si="30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3" zoomScaleNormal="73" zoomScalePageLayoutView="0" workbookViewId="0" topLeftCell="B1">
      <pane xSplit="2" ySplit="8" topLeftCell="D11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123" sqref="C12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21" t="s">
        <v>152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86"/>
      <c r="S1" s="87"/>
    </row>
    <row r="2" spans="2:19" s="1" customFormat="1" ht="15.75" customHeight="1">
      <c r="B2" s="322"/>
      <c r="C2" s="322"/>
      <c r="D2" s="322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3"/>
      <c r="B3" s="325"/>
      <c r="C3" s="326" t="s">
        <v>0</v>
      </c>
      <c r="D3" s="327" t="s">
        <v>151</v>
      </c>
      <c r="E3" s="32"/>
      <c r="F3" s="328" t="s">
        <v>26</v>
      </c>
      <c r="G3" s="329"/>
      <c r="H3" s="329"/>
      <c r="I3" s="329"/>
      <c r="J3" s="330"/>
      <c r="K3" s="83"/>
      <c r="L3" s="83"/>
      <c r="M3" s="83"/>
      <c r="N3" s="331" t="s">
        <v>145</v>
      </c>
      <c r="O3" s="332" t="s">
        <v>149</v>
      </c>
      <c r="P3" s="332"/>
      <c r="Q3" s="332"/>
      <c r="R3" s="332"/>
      <c r="S3" s="332"/>
    </row>
    <row r="4" spans="1:19" ht="22.5" customHeight="1">
      <c r="A4" s="323"/>
      <c r="B4" s="325"/>
      <c r="C4" s="326"/>
      <c r="D4" s="327"/>
      <c r="E4" s="333" t="s">
        <v>150</v>
      </c>
      <c r="F4" s="315" t="s">
        <v>33</v>
      </c>
      <c r="G4" s="305" t="s">
        <v>146</v>
      </c>
      <c r="H4" s="317" t="s">
        <v>147</v>
      </c>
      <c r="I4" s="305" t="s">
        <v>138</v>
      </c>
      <c r="J4" s="317" t="s">
        <v>139</v>
      </c>
      <c r="K4" s="85" t="s">
        <v>141</v>
      </c>
      <c r="L4" s="204" t="s">
        <v>113</v>
      </c>
      <c r="M4" s="90" t="s">
        <v>63</v>
      </c>
      <c r="N4" s="317"/>
      <c r="O4" s="319" t="s">
        <v>153</v>
      </c>
      <c r="P4" s="305" t="s">
        <v>49</v>
      </c>
      <c r="Q4" s="307" t="s">
        <v>48</v>
      </c>
      <c r="R4" s="91" t="s">
        <v>64</v>
      </c>
      <c r="S4" s="92" t="s">
        <v>63</v>
      </c>
    </row>
    <row r="5" spans="1:19" ht="67.5" customHeight="1">
      <c r="A5" s="324"/>
      <c r="B5" s="325"/>
      <c r="C5" s="326"/>
      <c r="D5" s="327"/>
      <c r="E5" s="334"/>
      <c r="F5" s="316"/>
      <c r="G5" s="306"/>
      <c r="H5" s="318"/>
      <c r="I5" s="306"/>
      <c r="J5" s="318"/>
      <c r="K5" s="308" t="s">
        <v>148</v>
      </c>
      <c r="L5" s="309"/>
      <c r="M5" s="310"/>
      <c r="N5" s="318"/>
      <c r="O5" s="320"/>
      <c r="P5" s="306"/>
      <c r="Q5" s="307"/>
      <c r="R5" s="308" t="s">
        <v>102</v>
      </c>
      <c r="S5" s="31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 aca="true" t="shared" si="0" ref="G8:G37">F8-E8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 aca="true" t="shared" si="1" ref="L8:L51">F8-K8</f>
        <v>54408.45000000004</v>
      </c>
      <c r="M8" s="205">
        <f aca="true" t="shared" si="2" ref="M8:M28">F8/K8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 t="shared" si="0"/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 t="shared" si="1"/>
        <v>31561.339999999997</v>
      </c>
      <c r="M9" s="206">
        <f t="shared" si="2"/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 t="shared" si="0"/>
        <v>378.6399999999994</v>
      </c>
      <c r="H10" s="30">
        <f aca="true" t="shared" si="3" ref="H10:H36">F10/E10*100</f>
        <v>100.4100142937584</v>
      </c>
      <c r="I10" s="104">
        <f aca="true" t="shared" si="4" ref="I10:I37">F10-D10</f>
        <v>-608590.36</v>
      </c>
      <c r="J10" s="104">
        <f aca="true" t="shared" si="5" ref="J10:J36">F10/D10*100</f>
        <v>13.22178700929822</v>
      </c>
      <c r="K10" s="106">
        <v>62213.95</v>
      </c>
      <c r="L10" s="106">
        <f t="shared" si="1"/>
        <v>30512.690000000002</v>
      </c>
      <c r="M10" s="207">
        <f t="shared" si="2"/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 aca="true" t="shared" si="6" ref="P10:P37">O10-N10</f>
        <v>519.7099999999991</v>
      </c>
      <c r="Q10" s="104">
        <f aca="true" t="shared" si="7" ref="Q10:Q24">O10/N10*100</f>
        <v>101.05924914397522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 t="shared" si="0"/>
        <v>-1304.7399999999998</v>
      </c>
      <c r="H11" s="30">
        <f t="shared" si="3"/>
        <v>81.87861111111111</v>
      </c>
      <c r="I11" s="104">
        <f t="shared" si="4"/>
        <v>-40610.74</v>
      </c>
      <c r="J11" s="104">
        <f t="shared" si="5"/>
        <v>12.676342837483338</v>
      </c>
      <c r="K11" s="106">
        <v>5319.16</v>
      </c>
      <c r="L11" s="106">
        <f t="shared" si="1"/>
        <v>576.1000000000004</v>
      </c>
      <c r="M11" s="207">
        <f t="shared" si="2"/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 t="shared" si="6"/>
        <v>-386.4399999999996</v>
      </c>
      <c r="Q11" s="104">
        <f t="shared" si="7"/>
        <v>89.26555555555557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 t="shared" si="0"/>
        <v>197.42000000000007</v>
      </c>
      <c r="H12" s="30">
        <f t="shared" si="3"/>
        <v>123.50238095238095</v>
      </c>
      <c r="I12" s="104">
        <f t="shared" si="4"/>
        <v>-7242.58</v>
      </c>
      <c r="J12" s="104">
        <f t="shared" si="5"/>
        <v>12.529227053140096</v>
      </c>
      <c r="K12" s="106">
        <v>822.03</v>
      </c>
      <c r="L12" s="106">
        <f t="shared" si="1"/>
        <v>215.3900000000001</v>
      </c>
      <c r="M12" s="207">
        <f t="shared" si="2"/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 t="shared" si="6"/>
        <v>116.99000000000001</v>
      </c>
      <c r="Q12" s="104">
        <f t="shared" si="7"/>
        <v>127.8547619047619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 t="shared" si="0"/>
        <v>408.31999999999994</v>
      </c>
      <c r="H13" s="30">
        <f t="shared" si="3"/>
        <v>125.20493827160493</v>
      </c>
      <c r="I13" s="104">
        <f t="shared" si="4"/>
        <v>-7361.68</v>
      </c>
      <c r="J13" s="104">
        <f t="shared" si="5"/>
        <v>21.600851970181044</v>
      </c>
      <c r="K13" s="106">
        <v>1514.49</v>
      </c>
      <c r="L13" s="106">
        <f t="shared" si="1"/>
        <v>513.8299999999999</v>
      </c>
      <c r="M13" s="207">
        <f t="shared" si="2"/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 t="shared" si="6"/>
        <v>208.96000000000004</v>
      </c>
      <c r="Q13" s="104">
        <f t="shared" si="7"/>
        <v>115.83030303030304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 t="shared" si="0"/>
        <v>-37.09</v>
      </c>
      <c r="H15" s="157">
        <f>F15/E15/100</f>
        <v>0.002727450980392157</v>
      </c>
      <c r="I15" s="158">
        <f t="shared" si="4"/>
        <v>-537.09</v>
      </c>
      <c r="J15" s="158">
        <f t="shared" si="5"/>
        <v>2.5245009074410163</v>
      </c>
      <c r="K15" s="161">
        <v>85.14</v>
      </c>
      <c r="L15" s="161">
        <f t="shared" si="1"/>
        <v>-71.23</v>
      </c>
      <c r="M15" s="208">
        <f t="shared" si="2"/>
        <v>0.1633779657035471</v>
      </c>
      <c r="N15" s="137">
        <f>E15-'січень 17'!E15</f>
        <v>51</v>
      </c>
      <c r="O15" s="145">
        <f>F15-'січень 17'!F15</f>
        <v>13.91</v>
      </c>
      <c r="P15" s="161">
        <f t="shared" si="6"/>
        <v>-37.09</v>
      </c>
      <c r="Q15" s="158">
        <f t="shared" si="7"/>
        <v>27.27450980392157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F18/E18/100</f>
        <v>0.016922857142857142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 t="shared" si="0"/>
        <v>-4294.09</v>
      </c>
      <c r="H19" s="157">
        <f t="shared" si="3"/>
        <v>76.14394444444444</v>
      </c>
      <c r="I19" s="158">
        <f t="shared" si="4"/>
        <v>-116294.09</v>
      </c>
      <c r="J19" s="158">
        <f t="shared" si="5"/>
        <v>10.543007692307691</v>
      </c>
      <c r="K19" s="169">
        <v>10861</v>
      </c>
      <c r="L19" s="161">
        <f t="shared" si="1"/>
        <v>2844.91</v>
      </c>
      <c r="M19" s="213">
        <f t="shared" si="2"/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 t="shared" si="6"/>
        <v>-4345.84</v>
      </c>
      <c r="Q19" s="158">
        <f t="shared" si="7"/>
        <v>47.640481927710844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 t="shared" si="0"/>
        <v>3182.75</v>
      </c>
      <c r="H20" s="157">
        <f t="shared" si="3"/>
        <v>104.19199336182655</v>
      </c>
      <c r="I20" s="158">
        <f t="shared" si="4"/>
        <v>-322022.85</v>
      </c>
      <c r="J20" s="158">
        <f t="shared" si="5"/>
        <v>19.721095475009232</v>
      </c>
      <c r="K20" s="158">
        <v>59046.44</v>
      </c>
      <c r="L20" s="161">
        <f t="shared" si="1"/>
        <v>20060.809999999998</v>
      </c>
      <c r="M20" s="209">
        <f t="shared" si="2"/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 t="shared" si="6"/>
        <v>2969.959999999999</v>
      </c>
      <c r="Q20" s="158">
        <f t="shared" si="7"/>
        <v>107.62368765562029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 t="shared" si="0"/>
        <v>-625.75</v>
      </c>
      <c r="H21" s="157">
        <f t="shared" si="3"/>
        <v>98.04945637265904</v>
      </c>
      <c r="I21" s="158">
        <f t="shared" si="4"/>
        <v>-175165.95</v>
      </c>
      <c r="J21" s="158">
        <f t="shared" si="5"/>
        <v>15.22354939720551</v>
      </c>
      <c r="K21" s="158">
        <v>25484.06</v>
      </c>
      <c r="L21" s="161">
        <f t="shared" si="1"/>
        <v>5970.989999999998</v>
      </c>
      <c r="M21" s="209">
        <f t="shared" si="2"/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 t="shared" si="6"/>
        <v>-400.22999999999956</v>
      </c>
      <c r="Q21" s="158">
        <f t="shared" si="7"/>
        <v>97.39008803390936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 t="shared" si="0"/>
        <v>33.210000000000036</v>
      </c>
      <c r="H22" s="173">
        <f t="shared" si="3"/>
        <v>100.75908571428572</v>
      </c>
      <c r="I22" s="174">
        <f t="shared" si="4"/>
        <v>-18400.79</v>
      </c>
      <c r="J22" s="174">
        <f t="shared" si="5"/>
        <v>19.326625454864306</v>
      </c>
      <c r="K22" s="175">
        <v>3552.77</v>
      </c>
      <c r="L22" s="166">
        <f t="shared" si="1"/>
        <v>855.44</v>
      </c>
      <c r="M22" s="215">
        <f t="shared" si="2"/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 t="shared" si="6"/>
        <v>363.5999999999999</v>
      </c>
      <c r="Q22" s="174">
        <f t="shared" si="7"/>
        <v>261.59999999999997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 t="shared" si="0"/>
        <v>-44.77000000000001</v>
      </c>
      <c r="H23" s="199">
        <f t="shared" si="3"/>
        <v>77.04102564102564</v>
      </c>
      <c r="I23" s="200">
        <f t="shared" si="4"/>
        <v>-1672.07</v>
      </c>
      <c r="J23" s="200">
        <f t="shared" si="5"/>
        <v>8.243977391208912</v>
      </c>
      <c r="K23" s="200">
        <v>146.88</v>
      </c>
      <c r="L23" s="200">
        <f t="shared" si="1"/>
        <v>3.3499999999999943</v>
      </c>
      <c r="M23" s="228">
        <f t="shared" si="2"/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 t="shared" si="6"/>
        <v>-25.140000000000015</v>
      </c>
      <c r="Q23" s="200">
        <f t="shared" si="7"/>
        <v>54.29090909090907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 t="shared" si="0"/>
        <v>77.97999999999956</v>
      </c>
      <c r="H24" s="199">
        <f t="shared" si="3"/>
        <v>101.86555023923445</v>
      </c>
      <c r="I24" s="200">
        <f t="shared" si="4"/>
        <v>-16728.72</v>
      </c>
      <c r="J24" s="200">
        <f t="shared" si="5"/>
        <v>20.288944903200594</v>
      </c>
      <c r="K24" s="200">
        <v>3405.89</v>
      </c>
      <c r="L24" s="200">
        <f t="shared" si="1"/>
        <v>852.0899999999997</v>
      </c>
      <c r="M24" s="228">
        <f t="shared" si="2"/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 t="shared" si="6"/>
        <v>388.7399999999998</v>
      </c>
      <c r="Q24" s="200">
        <f t="shared" si="7"/>
        <v>328.670588235294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 t="shared" si="0"/>
        <v>28.370000000000005</v>
      </c>
      <c r="H25" s="173">
        <f t="shared" si="3"/>
        <v>155.8464566929134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 t="shared" si="6"/>
        <v>22.090000000000003</v>
      </c>
      <c r="Q25" s="174">
        <f>O25/N25*100</f>
        <v>541.8000000000001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 t="shared" si="0"/>
        <v>-687.3300000000017</v>
      </c>
      <c r="H26" s="173">
        <f t="shared" si="3"/>
        <v>97.51462664979208</v>
      </c>
      <c r="I26" s="174">
        <f t="shared" si="4"/>
        <v>-156024.33000000002</v>
      </c>
      <c r="J26" s="174">
        <f t="shared" si="5"/>
        <v>14.73707593774591</v>
      </c>
      <c r="K26" s="175">
        <v>21757.07</v>
      </c>
      <c r="L26" s="175">
        <f t="shared" si="1"/>
        <v>5210.5999999999985</v>
      </c>
      <c r="M26" s="211">
        <f t="shared" si="2"/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 t="shared" si="6"/>
        <v>-785.9200000000019</v>
      </c>
      <c r="Q26" s="174">
        <f>O26/N26*100</f>
        <v>94.79695465077788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 t="shared" si="0"/>
        <v>679.2099999999991</v>
      </c>
      <c r="H27" s="199">
        <f t="shared" si="3"/>
        <v>108.30330073349631</v>
      </c>
      <c r="I27" s="200">
        <f t="shared" si="4"/>
        <v>-48673.79</v>
      </c>
      <c r="J27" s="200">
        <f t="shared" si="5"/>
        <v>15.398484348113255</v>
      </c>
      <c r="K27" s="200">
        <v>6708.33</v>
      </c>
      <c r="L27" s="200">
        <f t="shared" si="1"/>
        <v>2150.879999999999</v>
      </c>
      <c r="M27" s="228">
        <f t="shared" si="2"/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 t="shared" si="6"/>
        <v>409.34999999999854</v>
      </c>
      <c r="Q27" s="200">
        <f>O27/N27*100</f>
        <v>108.8032258064516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 t="shared" si="0"/>
        <v>-1366.5400000000009</v>
      </c>
      <c r="H28" s="199">
        <f t="shared" si="3"/>
        <v>92.98310654685493</v>
      </c>
      <c r="I28" s="200">
        <f t="shared" si="4"/>
        <v>-107350.54000000001</v>
      </c>
      <c r="J28" s="200">
        <f t="shared" si="5"/>
        <v>14.433767206816569</v>
      </c>
      <c r="K28" s="200">
        <v>15048.75</v>
      </c>
      <c r="L28" s="200">
        <f t="shared" si="1"/>
        <v>3059.709999999999</v>
      </c>
      <c r="M28" s="228">
        <f t="shared" si="2"/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 t="shared" si="6"/>
        <v>-1195.2700000000004</v>
      </c>
      <c r="Q28" s="200">
        <f>O28/N28*100</f>
        <v>88.56747967479674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 t="shared" si="0"/>
        <v>19.200000000000003</v>
      </c>
      <c r="H30" s="157">
        <f t="shared" si="3"/>
        <v>228.00000000000003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 t="shared" si="6"/>
        <v>9.14</v>
      </c>
      <c r="Q30" s="158">
        <f>O30/N30*100</f>
        <v>176.16666666666669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 t="shared" si="0"/>
        <v>-10.76</v>
      </c>
      <c r="H31" s="157"/>
      <c r="I31" s="158">
        <f t="shared" si="4"/>
        <v>-10.76</v>
      </c>
      <c r="J31" s="158"/>
      <c r="K31" s="158">
        <v>-52.93</v>
      </c>
      <c r="L31" s="158">
        <f t="shared" si="1"/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 t="shared" si="6"/>
        <v>-7.83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 t="shared" si="0"/>
        <v>3799.8600000000006</v>
      </c>
      <c r="H32" s="164">
        <f t="shared" si="3"/>
        <v>108.66979855665353</v>
      </c>
      <c r="I32" s="165">
        <f t="shared" si="4"/>
        <v>-146765.54</v>
      </c>
      <c r="J32" s="165">
        <f t="shared" si="5"/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 t="shared" si="6"/>
        <v>3368.880000000001</v>
      </c>
      <c r="Q32" s="165">
        <f>O32/N32*100</f>
        <v>114.26886912325287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9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 t="shared" si="0"/>
        <v>645.9500000000007</v>
      </c>
      <c r="H34" s="105">
        <f t="shared" si="3"/>
        <v>107.09055982436884</v>
      </c>
      <c r="I34" s="104">
        <f t="shared" si="4"/>
        <v>-31244.05</v>
      </c>
      <c r="J34" s="104">
        <f t="shared" si="5"/>
        <v>23.795</v>
      </c>
      <c r="K34" s="127">
        <v>8679.27</v>
      </c>
      <c r="L34" s="127">
        <f t="shared" si="1"/>
        <v>1076.6800000000003</v>
      </c>
      <c r="M34" s="216">
        <f t="shared" si="9"/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 t="shared" si="6"/>
        <v>560.9200000000001</v>
      </c>
      <c r="Q34" s="104">
        <f>O34/N34*100</f>
        <v>109.99857397504455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 t="shared" si="0"/>
        <v>3156.5</v>
      </c>
      <c r="H35" s="105">
        <f t="shared" si="3"/>
        <v>109.0965417867435</v>
      </c>
      <c r="I35" s="104">
        <f t="shared" si="4"/>
        <v>-115482.6</v>
      </c>
      <c r="J35" s="104">
        <f t="shared" si="5"/>
        <v>24.688093252145084</v>
      </c>
      <c r="K35" s="127">
        <v>24907.67</v>
      </c>
      <c r="L35" s="127">
        <f t="shared" si="1"/>
        <v>12948.830000000002</v>
      </c>
      <c r="M35" s="216">
        <f t="shared" si="9"/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 t="shared" si="6"/>
        <v>2807.959999999999</v>
      </c>
      <c r="Q35" s="104">
        <f>O35/N35*100</f>
        <v>115.59977777777777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9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9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 t="shared" si="1"/>
        <v>3775.189999999998</v>
      </c>
      <c r="M38" s="205">
        <f t="shared" si="9"/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9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0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1" ref="G40:G63">F40-E40</f>
        <v>-383.67999999999984</v>
      </c>
      <c r="H40" s="164"/>
      <c r="I40" s="165">
        <f aca="true" t="shared" si="12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3" ref="P40:P63">O40-N40</f>
        <v>-383.67999999999984</v>
      </c>
      <c r="Q40" s="165">
        <f t="shared" si="10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 t="shared" si="11"/>
        <v>41.08</v>
      </c>
      <c r="H41" s="164">
        <f aca="true" t="shared" si="14" ref="H41:H62">F41/E41*100</f>
        <v>356.75</v>
      </c>
      <c r="I41" s="165">
        <f t="shared" si="12"/>
        <v>17.08</v>
      </c>
      <c r="J41" s="165">
        <f aca="true" t="shared" si="15" ref="J41:J62">F41/D41*100</f>
        <v>142.70000000000002</v>
      </c>
      <c r="K41" s="165">
        <v>24.38</v>
      </c>
      <c r="L41" s="165">
        <f t="shared" si="1"/>
        <v>32.7</v>
      </c>
      <c r="M41" s="218">
        <f aca="true" t="shared" si="16" ref="M41:M63">F41/K41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 t="shared" si="13"/>
        <v>36.21</v>
      </c>
      <c r="Q41" s="165"/>
      <c r="R41" s="37"/>
      <c r="S41" s="94"/>
      <c r="T41" s="147">
        <f t="shared" si="8"/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1"/>
        <v>2.03</v>
      </c>
      <c r="H42" s="164"/>
      <c r="I42" s="165">
        <f t="shared" si="12"/>
        <v>2.03</v>
      </c>
      <c r="J42" s="165"/>
      <c r="K42" s="165">
        <v>1.02</v>
      </c>
      <c r="L42" s="165">
        <f t="shared" si="1"/>
        <v>1.0099999999999998</v>
      </c>
      <c r="M42" s="218">
        <f t="shared" si="16"/>
        <v>1.9901960784313724</v>
      </c>
      <c r="N42" s="164">
        <f>E42-'січень 17'!E42</f>
        <v>0</v>
      </c>
      <c r="O42" s="168">
        <f>F42-'січень 17'!F42</f>
        <v>2.03</v>
      </c>
      <c r="P42" s="167">
        <f t="shared" si="13"/>
        <v>2.03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 t="shared" si="11"/>
        <v>42.08</v>
      </c>
      <c r="H43" s="164">
        <f t="shared" si="14"/>
        <v>205.20000000000002</v>
      </c>
      <c r="I43" s="165">
        <f t="shared" si="12"/>
        <v>-177.92000000000002</v>
      </c>
      <c r="J43" s="165">
        <f t="shared" si="15"/>
        <v>31.569230769230767</v>
      </c>
      <c r="K43" s="165">
        <v>3.65</v>
      </c>
      <c r="L43" s="165">
        <f t="shared" si="1"/>
        <v>78.42999999999999</v>
      </c>
      <c r="M43" s="218">
        <f t="shared" si="16"/>
        <v>22.487671232876714</v>
      </c>
      <c r="N43" s="164">
        <f>E43-'січень 17'!E43</f>
        <v>20</v>
      </c>
      <c r="O43" s="168">
        <f>F43-'січень 17'!F43</f>
        <v>70.91</v>
      </c>
      <c r="P43" s="167">
        <f t="shared" si="13"/>
        <v>50.91</v>
      </c>
      <c r="Q43" s="165">
        <f t="shared" si="10"/>
        <v>354.54999999999995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1"/>
        <v>-13.6</v>
      </c>
      <c r="H44" s="164"/>
      <c r="I44" s="165">
        <f t="shared" si="12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 t="shared" si="11"/>
        <v>72.38999999999999</v>
      </c>
      <c r="H45" s="164">
        <f t="shared" si="14"/>
        <v>160.325</v>
      </c>
      <c r="I45" s="165">
        <f t="shared" si="12"/>
        <v>-537.61</v>
      </c>
      <c r="J45" s="165">
        <f t="shared" si="15"/>
        <v>26.35479452054794</v>
      </c>
      <c r="K45" s="165">
        <v>0</v>
      </c>
      <c r="L45" s="165">
        <f t="shared" si="1"/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 t="shared" si="13"/>
        <v>42.93999999999998</v>
      </c>
      <c r="Q45" s="165">
        <f t="shared" si="10"/>
        <v>171.56666666666663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6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 t="shared" si="11"/>
        <v>743.7199999999998</v>
      </c>
      <c r="H47" s="164">
        <f t="shared" si="14"/>
        <v>153.12285714285713</v>
      </c>
      <c r="I47" s="165">
        <f t="shared" si="12"/>
        <v>-8856.28</v>
      </c>
      <c r="J47" s="165">
        <f t="shared" si="15"/>
        <v>19.488363636363633</v>
      </c>
      <c r="K47" s="165">
        <v>1351.17</v>
      </c>
      <c r="L47" s="165">
        <f t="shared" si="1"/>
        <v>792.5499999999997</v>
      </c>
      <c r="M47" s="218">
        <f t="shared" si="16"/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 t="shared" si="13"/>
        <v>291.15999999999985</v>
      </c>
      <c r="Q47" s="165">
        <f t="shared" si="10"/>
        <v>136.39499999999998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 t="shared" si="11"/>
        <v>40.44</v>
      </c>
      <c r="H48" s="164">
        <f t="shared" si="14"/>
        <v>180.88</v>
      </c>
      <c r="I48" s="165">
        <f t="shared" si="12"/>
        <v>-219.56</v>
      </c>
      <c r="J48" s="165">
        <f t="shared" si="15"/>
        <v>29.174193548387095</v>
      </c>
      <c r="K48" s="165">
        <v>1.03</v>
      </c>
      <c r="L48" s="165">
        <f t="shared" si="1"/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 t="shared" si="13"/>
        <v>20.909999999999997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1"/>
        <v>-2</v>
      </c>
      <c r="H49" s="164">
        <f t="shared" si="14"/>
        <v>0</v>
      </c>
      <c r="I49" s="165">
        <f t="shared" si="12"/>
        <v>-20</v>
      </c>
      <c r="J49" s="165">
        <f t="shared" si="15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3"/>
        <v>-1</v>
      </c>
      <c r="Q49" s="165">
        <f t="shared" si="10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1"/>
        <v>-36.65000000000009</v>
      </c>
      <c r="H50" s="164">
        <f t="shared" si="14"/>
        <v>96.94583333333333</v>
      </c>
      <c r="I50" s="165">
        <f t="shared" si="12"/>
        <v>-6111.65</v>
      </c>
      <c r="J50" s="165">
        <f t="shared" si="15"/>
        <v>15.991065292096218</v>
      </c>
      <c r="K50" s="165">
        <v>1303.34</v>
      </c>
      <c r="L50" s="165">
        <f t="shared" si="1"/>
        <v>-139.99</v>
      </c>
      <c r="M50" s="218">
        <f t="shared" si="16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3"/>
        <v>-121.6400000000001</v>
      </c>
      <c r="Q50" s="165">
        <f t="shared" si="10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 t="shared" si="11"/>
        <v>-50.95</v>
      </c>
      <c r="H51" s="164">
        <f t="shared" si="14"/>
        <v>63.607142857142854</v>
      </c>
      <c r="I51" s="165">
        <f t="shared" si="12"/>
        <v>-1110.95</v>
      </c>
      <c r="J51" s="165">
        <f t="shared" si="15"/>
        <v>7.420833333333333</v>
      </c>
      <c r="K51" s="165">
        <v>965.16</v>
      </c>
      <c r="L51" s="165">
        <f t="shared" si="1"/>
        <v>-876.11</v>
      </c>
      <c r="M51" s="218">
        <f t="shared" si="16"/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 t="shared" si="13"/>
        <v>-36.040000000000006</v>
      </c>
      <c r="Q51" s="165">
        <f t="shared" si="10"/>
        <v>57.599999999999994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 t="shared" si="11"/>
        <v>-36.290000000000006</v>
      </c>
      <c r="H52" s="30">
        <f t="shared" si="14"/>
        <v>67.0090909090909</v>
      </c>
      <c r="I52" s="104">
        <f t="shared" si="12"/>
        <v>-924.29</v>
      </c>
      <c r="J52" s="104">
        <f t="shared" si="15"/>
        <v>7.385771543086171</v>
      </c>
      <c r="K52" s="104">
        <v>86.43</v>
      </c>
      <c r="L52" s="104">
        <f>F52-K52</f>
        <v>-12.720000000000013</v>
      </c>
      <c r="M52" s="109">
        <f t="shared" si="16"/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 t="shared" si="13"/>
        <v>-29.10000000000001</v>
      </c>
      <c r="Q52" s="119">
        <f t="shared" si="10"/>
        <v>58.428571428571416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1"/>
        <v>0.1</v>
      </c>
      <c r="H53" s="30" t="e">
        <f t="shared" si="14"/>
        <v>#DIV/0!</v>
      </c>
      <c r="I53" s="104">
        <f t="shared" si="12"/>
        <v>-0.9</v>
      </c>
      <c r="J53" s="104">
        <f t="shared" si="15"/>
        <v>10</v>
      </c>
      <c r="K53" s="104">
        <v>0.08</v>
      </c>
      <c r="L53" s="104">
        <f>F53-K53</f>
        <v>0.020000000000000004</v>
      </c>
      <c r="M53" s="109">
        <f t="shared" si="16"/>
        <v>1.25</v>
      </c>
      <c r="N53" s="164">
        <f>E53-'січень 17'!E53</f>
        <v>0</v>
      </c>
      <c r="O53" s="168">
        <f>F53-'січень 17'!F53</f>
        <v>0.09000000000000001</v>
      </c>
      <c r="P53" s="106">
        <f t="shared" si="13"/>
        <v>0.09000000000000001</v>
      </c>
      <c r="Q53" s="119" t="e">
        <f t="shared" si="10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1"/>
        <v>0</v>
      </c>
      <c r="H54" s="30"/>
      <c r="I54" s="104">
        <f t="shared" si="12"/>
        <v>-1</v>
      </c>
      <c r="J54" s="104">
        <f t="shared" si="15"/>
        <v>0</v>
      </c>
      <c r="K54" s="104">
        <v>0</v>
      </c>
      <c r="L54" s="104">
        <f>F54-K54</f>
        <v>0</v>
      </c>
      <c r="M54" s="109" t="e">
        <f t="shared" si="16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3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 t="shared" si="11"/>
        <v>-14.76</v>
      </c>
      <c r="H55" s="30">
        <f t="shared" si="14"/>
        <v>50.8</v>
      </c>
      <c r="I55" s="104">
        <f t="shared" si="12"/>
        <v>-184.76</v>
      </c>
      <c r="J55" s="104">
        <f t="shared" si="15"/>
        <v>7.62</v>
      </c>
      <c r="K55" s="104">
        <v>878.65</v>
      </c>
      <c r="L55" s="104">
        <f>F55-K55</f>
        <v>-863.41</v>
      </c>
      <c r="M55" s="109">
        <f t="shared" si="16"/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 t="shared" si="13"/>
        <v>-7.029999999999999</v>
      </c>
      <c r="Q55" s="119">
        <f t="shared" si="10"/>
        <v>53.13333333333333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1"/>
        <v>-0.8300000000000001</v>
      </c>
      <c r="H56" s="164"/>
      <c r="I56" s="165">
        <f t="shared" si="12"/>
        <v>-0.8300000000000001</v>
      </c>
      <c r="J56" s="165">
        <f t="shared" si="15"/>
        <v>66.8</v>
      </c>
      <c r="K56" s="165">
        <v>2.46</v>
      </c>
      <c r="L56" s="165">
        <f>F56-K56</f>
        <v>-0.79</v>
      </c>
      <c r="M56" s="218">
        <f t="shared" si="16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3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 t="shared" si="11"/>
        <v>511.42999999999984</v>
      </c>
      <c r="H57" s="164">
        <f t="shared" si="14"/>
        <v>123.24681818181817</v>
      </c>
      <c r="I57" s="165">
        <f t="shared" si="12"/>
        <v>-4638.57</v>
      </c>
      <c r="J57" s="165">
        <f t="shared" si="15"/>
        <v>36.890204081632646</v>
      </c>
      <c r="K57" s="165">
        <v>722.66</v>
      </c>
      <c r="L57" s="165">
        <f aca="true" t="shared" si="17" ref="L57:L63">F57-K57</f>
        <v>1988.77</v>
      </c>
      <c r="M57" s="218">
        <f t="shared" si="16"/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 t="shared" si="13"/>
        <v>-135.9000000000001</v>
      </c>
      <c r="Q57" s="165">
        <f t="shared" si="10"/>
        <v>77.34999999999998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1"/>
        <v>0</v>
      </c>
      <c r="H58" s="164" t="e">
        <f t="shared" si="14"/>
        <v>#DIV/0!</v>
      </c>
      <c r="I58" s="165">
        <f t="shared" si="12"/>
        <v>0</v>
      </c>
      <c r="J58" s="165" t="e">
        <f t="shared" si="15"/>
        <v>#DIV/0!</v>
      </c>
      <c r="K58" s="165"/>
      <c r="L58" s="165">
        <f t="shared" si="17"/>
        <v>0</v>
      </c>
      <c r="M58" s="218" t="e">
        <f t="shared" si="16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3"/>
        <v>0</v>
      </c>
      <c r="Q58" s="165" t="e">
        <f t="shared" si="10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285.33</v>
      </c>
      <c r="G59" s="162"/>
      <c r="H59" s="164"/>
      <c r="I59" s="165"/>
      <c r="J59" s="165"/>
      <c r="K59" s="166">
        <v>147.3</v>
      </c>
      <c r="L59" s="165">
        <f t="shared" si="17"/>
        <v>138.02999999999997</v>
      </c>
      <c r="M59" s="218">
        <f t="shared" si="16"/>
        <v>1.9370672097759671</v>
      </c>
      <c r="N59" s="164">
        <f>E59-'січень 17'!E59</f>
        <v>0</v>
      </c>
      <c r="O59" s="168">
        <f>F59-'січень 17'!F59</f>
        <v>118.11999999999998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1"/>
        <v>0</v>
      </c>
      <c r="H60" s="164"/>
      <c r="I60" s="165">
        <f t="shared" si="12"/>
        <v>0</v>
      </c>
      <c r="J60" s="165"/>
      <c r="K60" s="166"/>
      <c r="L60" s="165">
        <f t="shared" si="17"/>
        <v>0</v>
      </c>
      <c r="M60" s="218" t="e">
        <f t="shared" si="16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3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1"/>
        <v>22.89</v>
      </c>
      <c r="H61" s="164">
        <f t="shared" si="14"/>
        <v>328.90000000000003</v>
      </c>
      <c r="I61" s="165">
        <f t="shared" si="12"/>
        <v>-127.11</v>
      </c>
      <c r="J61" s="165">
        <f t="shared" si="15"/>
        <v>20.556250000000002</v>
      </c>
      <c r="K61" s="165">
        <v>32.19</v>
      </c>
      <c r="L61" s="165">
        <f t="shared" si="17"/>
        <v>0.7000000000000028</v>
      </c>
      <c r="M61" s="218">
        <f t="shared" si="16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3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 t="shared" si="11"/>
        <v>6.1</v>
      </c>
      <c r="H62" s="164">
        <f t="shared" si="14"/>
        <v>344</v>
      </c>
      <c r="I62" s="165">
        <f t="shared" si="12"/>
        <v>-6.4</v>
      </c>
      <c r="J62" s="165">
        <f t="shared" si="15"/>
        <v>57.333333333333336</v>
      </c>
      <c r="K62" s="165">
        <v>3.8</v>
      </c>
      <c r="L62" s="165">
        <f t="shared" si="17"/>
        <v>4.8</v>
      </c>
      <c r="M62" s="218">
        <f t="shared" si="16"/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 t="shared" si="13"/>
        <v>5.81</v>
      </c>
      <c r="Q62" s="165">
        <f t="shared" si="10"/>
        <v>546.9230769230768</v>
      </c>
      <c r="R62" s="37"/>
      <c r="S62" s="94"/>
      <c r="T62" s="147">
        <f t="shared" si="8"/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1"/>
        <v>-5.33</v>
      </c>
      <c r="H63" s="164"/>
      <c r="I63" s="165">
        <f t="shared" si="12"/>
        <v>-5.33</v>
      </c>
      <c r="J63" s="165"/>
      <c r="K63" s="165">
        <v>0.54</v>
      </c>
      <c r="L63" s="165">
        <f t="shared" si="17"/>
        <v>-5.87</v>
      </c>
      <c r="M63" s="218">
        <f t="shared" si="16"/>
        <v>-9.87037037037037</v>
      </c>
      <c r="N63" s="164">
        <f>E63-'січень 17'!E63</f>
        <v>0</v>
      </c>
      <c r="O63" s="168">
        <f>F63-'січень 17'!F63</f>
        <v>-5.33</v>
      </c>
      <c r="P63" s="167">
        <f t="shared" si="13"/>
        <v>-5.33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 aca="true" t="shared" si="18" ref="G73:G85">F73-E73</f>
        <v>0.07</v>
      </c>
      <c r="H73" s="164"/>
      <c r="I73" s="167">
        <f aca="true" t="shared" si="19" ref="I73:I85">F73-D73</f>
        <v>-104205.95999999999</v>
      </c>
      <c r="J73" s="167">
        <f>F73/D73*100</f>
        <v>6.71746155188908E-05</v>
      </c>
      <c r="K73" s="167">
        <v>0.1</v>
      </c>
      <c r="L73" s="167">
        <f aca="true" t="shared" si="20" ref="L73:L84">F73-K73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 aca="true" t="shared" si="21" ref="P73:P87">O73-N73</f>
        <v>0.030000000000000006</v>
      </c>
      <c r="Q73" s="167" t="e">
        <f>O73/N73*100</f>
        <v>#DIV/0!</v>
      </c>
      <c r="R73" s="38"/>
      <c r="S73" s="97"/>
      <c r="T73" s="147">
        <f t="shared" si="8"/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 t="shared" si="18"/>
        <v>-1181.66</v>
      </c>
      <c r="H74" s="164">
        <f>F74/E74*100</f>
        <v>3.930081300813008</v>
      </c>
      <c r="I74" s="167">
        <f t="shared" si="19"/>
        <v>-53951.66</v>
      </c>
      <c r="J74" s="167">
        <f>F74/D74*100</f>
        <v>0.08951851851851853</v>
      </c>
      <c r="K74" s="167">
        <v>376.67</v>
      </c>
      <c r="L74" s="167">
        <f t="shared" si="20"/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 t="shared" si="21"/>
        <v>-583.56</v>
      </c>
      <c r="Q74" s="167">
        <f>O74/N74*100</f>
        <v>7.371428571428572</v>
      </c>
      <c r="R74" s="38"/>
      <c r="S74" s="97"/>
      <c r="T74" s="147">
        <f aca="true" t="shared" si="22" ref="T74:T91">D74-E74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 t="shared" si="18"/>
        <v>302.5899999999999</v>
      </c>
      <c r="H75" s="164">
        <f>F75/E75*100</f>
        <v>137.82375</v>
      </c>
      <c r="I75" s="167">
        <f t="shared" si="19"/>
        <v>-77897.41</v>
      </c>
      <c r="J75" s="167">
        <f>F75/D75*100</f>
        <v>1.3956835443037974</v>
      </c>
      <c r="K75" s="167">
        <v>646.84</v>
      </c>
      <c r="L75" s="167">
        <f t="shared" si="20"/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 t="shared" si="21"/>
        <v>612.4699999999999</v>
      </c>
      <c r="Q75" s="167">
        <f>O75/N75*100</f>
        <v>253.11749999999998</v>
      </c>
      <c r="R75" s="38"/>
      <c r="S75" s="97"/>
      <c r="T75" s="147">
        <f t="shared" si="22"/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8"/>
        <v>0</v>
      </c>
      <c r="H76" s="164">
        <f>F76/E76*100</f>
        <v>100</v>
      </c>
      <c r="I76" s="167">
        <f t="shared" si="19"/>
        <v>-10</v>
      </c>
      <c r="J76" s="167">
        <f>F76/D76*100</f>
        <v>16.666666666666664</v>
      </c>
      <c r="K76" s="167">
        <v>2</v>
      </c>
      <c r="L76" s="167">
        <f t="shared" si="20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1"/>
        <v>0</v>
      </c>
      <c r="Q76" s="167">
        <f>O76/N76*100</f>
        <v>100</v>
      </c>
      <c r="R76" s="38"/>
      <c r="S76" s="136"/>
      <c r="T76" s="147">
        <f t="shared" si="22"/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 t="shared" si="18"/>
        <v>-879</v>
      </c>
      <c r="H77" s="186">
        <f>F77/E77*100</f>
        <v>56.74212598425197</v>
      </c>
      <c r="I77" s="187">
        <f t="shared" si="19"/>
        <v>-236065.03</v>
      </c>
      <c r="J77" s="187">
        <f>F77/D77*100</f>
        <v>0.48605074411923915</v>
      </c>
      <c r="K77" s="187">
        <v>1025.62</v>
      </c>
      <c r="L77" s="187">
        <f t="shared" si="20"/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 t="shared" si="21"/>
        <v>28.939999999999827</v>
      </c>
      <c r="Q77" s="187">
        <f>O77/N77*100</f>
        <v>102.8069835111542</v>
      </c>
      <c r="R77" s="39"/>
      <c r="S77" s="116"/>
      <c r="T77" s="147">
        <f t="shared" si="22"/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 t="shared" si="18"/>
        <v>8.78</v>
      </c>
      <c r="H78" s="164"/>
      <c r="I78" s="167">
        <f t="shared" si="19"/>
        <v>-31.22</v>
      </c>
      <c r="J78" s="167"/>
      <c r="K78" s="167">
        <v>0.01</v>
      </c>
      <c r="L78" s="167">
        <f t="shared" si="20"/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 t="shared" si="21"/>
        <v>8.44</v>
      </c>
      <c r="Q78" s="167"/>
      <c r="R78" s="38"/>
      <c r="S78" s="97"/>
      <c r="T78" s="147">
        <f t="shared" si="22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8"/>
        <v>0</v>
      </c>
      <c r="H79" s="164"/>
      <c r="I79" s="167">
        <f t="shared" si="19"/>
        <v>0</v>
      </c>
      <c r="J79" s="190"/>
      <c r="K79" s="167">
        <v>0</v>
      </c>
      <c r="L79" s="167">
        <f t="shared" si="20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1"/>
        <v>0</v>
      </c>
      <c r="Q79" s="190"/>
      <c r="R79" s="41"/>
      <c r="S79" s="99"/>
      <c r="T79" s="147">
        <f t="shared" si="22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 t="shared" si="18"/>
        <v>-132.76999999999998</v>
      </c>
      <c r="H80" s="164">
        <f>F80/E80*100</f>
        <v>94.35021276595745</v>
      </c>
      <c r="I80" s="167">
        <f t="shared" si="19"/>
        <v>-6142.77</v>
      </c>
      <c r="J80" s="167">
        <f>F80/D80*100</f>
        <v>26.52188995215311</v>
      </c>
      <c r="K80" s="167">
        <v>2013.66</v>
      </c>
      <c r="L80" s="167">
        <f t="shared" si="20"/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 t="shared" si="22"/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8"/>
        <v>0.03</v>
      </c>
      <c r="H81" s="164"/>
      <c r="I81" s="167">
        <f t="shared" si="19"/>
        <v>0.03</v>
      </c>
      <c r="J81" s="167"/>
      <c r="K81" s="167">
        <v>1.31</v>
      </c>
      <c r="L81" s="167">
        <f t="shared" si="20"/>
        <v>-1.28</v>
      </c>
      <c r="M81" s="209">
        <f aca="true" t="shared" si="23" ref="M81:M87">F81/K81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 t="shared" si="21"/>
        <v>0.03</v>
      </c>
      <c r="Q81" s="167"/>
      <c r="R81" s="38"/>
      <c r="S81" s="97"/>
      <c r="T81" s="147">
        <f t="shared" si="22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 t="shared" si="19"/>
        <v>-6173.96</v>
      </c>
      <c r="J82" s="187">
        <f aca="true" t="shared" si="24" ref="J82:J87">F82/D82*100</f>
        <v>26.500476190476192</v>
      </c>
      <c r="K82" s="187">
        <v>2013.84</v>
      </c>
      <c r="L82" s="187">
        <f t="shared" si="20"/>
        <v>212.20000000000005</v>
      </c>
      <c r="M82" s="220">
        <f t="shared" si="23"/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 t="shared" si="22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 t="shared" si="18"/>
        <v>-3.9400000000000004</v>
      </c>
      <c r="H83" s="164">
        <f>F83/E83*100</f>
        <v>19.591836734693878</v>
      </c>
      <c r="I83" s="167">
        <f t="shared" si="19"/>
        <v>-37.04</v>
      </c>
      <c r="J83" s="167">
        <f t="shared" si="24"/>
        <v>2.526315789473684</v>
      </c>
      <c r="K83" s="167">
        <v>0.69</v>
      </c>
      <c r="L83" s="167">
        <f t="shared" si="20"/>
        <v>0.27</v>
      </c>
      <c r="M83" s="209">
        <f t="shared" si="23"/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 t="shared" si="21"/>
        <v>-1.8800000000000006</v>
      </c>
      <c r="Q83" s="167">
        <f>O83/N83</f>
        <v>0.24799999999999991</v>
      </c>
      <c r="R83" s="38"/>
      <c r="S83" s="97"/>
      <c r="T83" s="147">
        <f t="shared" si="22"/>
        <v>33.1</v>
      </c>
    </row>
    <row r="84" spans="2:20" ht="18">
      <c r="B84" s="122" t="s">
        <v>143</v>
      </c>
      <c r="C84" s="43">
        <v>21110000</v>
      </c>
      <c r="D84" s="180">
        <v>0</v>
      </c>
      <c r="E84" s="180">
        <v>0</v>
      </c>
      <c r="F84" s="181">
        <v>26.66</v>
      </c>
      <c r="G84" s="162">
        <f t="shared" si="18"/>
        <v>26.66</v>
      </c>
      <c r="H84" s="164"/>
      <c r="I84" s="167">
        <f t="shared" si="19"/>
        <v>26.66</v>
      </c>
      <c r="J84" s="167" t="e">
        <f t="shared" si="24"/>
        <v>#DIV/0!</v>
      </c>
      <c r="K84" s="167">
        <v>0</v>
      </c>
      <c r="L84" s="167">
        <f t="shared" si="20"/>
        <v>26.66</v>
      </c>
      <c r="M84" s="167"/>
      <c r="N84" s="164">
        <f>E84-'січень 17'!E84</f>
        <v>0</v>
      </c>
      <c r="O84" s="168">
        <f>F84-'січень 17'!F84</f>
        <v>26.66</v>
      </c>
      <c r="P84" s="167">
        <f t="shared" si="21"/>
        <v>26.66</v>
      </c>
      <c r="Q84" s="167"/>
      <c r="R84" s="38"/>
      <c r="S84" s="97"/>
      <c r="T84" s="147">
        <f t="shared" si="22"/>
        <v>0</v>
      </c>
    </row>
    <row r="85" spans="2:20" ht="18">
      <c r="B85" s="122" t="s">
        <v>165</v>
      </c>
      <c r="C85" s="43">
        <v>25000000</v>
      </c>
      <c r="D85" s="180">
        <v>72408.2</v>
      </c>
      <c r="E85" s="180">
        <v>12068</v>
      </c>
      <c r="F85" s="181">
        <v>12815.4</v>
      </c>
      <c r="G85" s="162">
        <f t="shared" si="18"/>
        <v>747.3999999999996</v>
      </c>
      <c r="H85" s="164">
        <f>F85/E85*100</f>
        <v>106.19323831620815</v>
      </c>
      <c r="I85" s="167">
        <f t="shared" si="19"/>
        <v>-59592.799999999996</v>
      </c>
      <c r="J85" s="167">
        <f t="shared" si="24"/>
        <v>17.698824166323703</v>
      </c>
      <c r="K85" s="167"/>
      <c r="L85" s="167"/>
      <c r="M85" s="167"/>
      <c r="N85" s="164"/>
      <c r="O85" s="168"/>
      <c r="P85" s="167"/>
      <c r="Q85" s="167"/>
      <c r="R85" s="38"/>
      <c r="S85" s="97"/>
      <c r="T85" s="147">
        <f t="shared" si="22"/>
        <v>60340.2</v>
      </c>
    </row>
    <row r="86" spans="2:20" ht="23.25" customHeight="1">
      <c r="B86" s="14" t="s">
        <v>31</v>
      </c>
      <c r="C86" s="66"/>
      <c r="D86" s="191">
        <f>D71+D83+D77+D82+D85</f>
        <v>318064.23</v>
      </c>
      <c r="E86" s="191">
        <f>E71+E83+E77+E82+E85</f>
        <v>16454.9</v>
      </c>
      <c r="F86" s="191">
        <f>F71+F83+F77+F82+F85+F84</f>
        <v>16222.07</v>
      </c>
      <c r="G86" s="192">
        <f>F86-E86</f>
        <v>-232.83000000000175</v>
      </c>
      <c r="H86" s="193">
        <f>F86/E86*100</f>
        <v>98.585041537779</v>
      </c>
      <c r="I86" s="194">
        <f>F86-D86</f>
        <v>-301842.16</v>
      </c>
      <c r="J86" s="194">
        <f t="shared" si="24"/>
        <v>5.100249720001523</v>
      </c>
      <c r="K86" s="194">
        <v>3039.87</v>
      </c>
      <c r="L86" s="194">
        <f>F86-K86</f>
        <v>13182.2</v>
      </c>
      <c r="M86" s="221">
        <f t="shared" si="23"/>
        <v>5.336435439673407</v>
      </c>
      <c r="N86" s="191">
        <f>N71+N83+N77+N82+N84</f>
        <v>3376</v>
      </c>
      <c r="O86" s="191">
        <f>O71+O83+O77+O82+O84</f>
        <v>3301.4399999999996</v>
      </c>
      <c r="P86" s="194">
        <f t="shared" si="21"/>
        <v>-74.5600000000004</v>
      </c>
      <c r="Q86" s="194">
        <f>O86/N86*100</f>
        <v>97.79146919431278</v>
      </c>
      <c r="R86" s="27">
        <f>O86-8104.96</f>
        <v>-4803.52</v>
      </c>
      <c r="S86" s="95">
        <f>O86/8104.96</f>
        <v>0.40733575489576745</v>
      </c>
      <c r="T86" s="147">
        <f t="shared" si="22"/>
        <v>301609.32999999996</v>
      </c>
    </row>
    <row r="87" spans="2:20" ht="17.25">
      <c r="B87" s="21" t="s">
        <v>32</v>
      </c>
      <c r="C87" s="66"/>
      <c r="D87" s="191">
        <f>D64+D86</f>
        <v>1675555.33</v>
      </c>
      <c r="E87" s="191">
        <f>E64+E86</f>
        <v>220477</v>
      </c>
      <c r="F87" s="191">
        <f>F64+F86</f>
        <v>219748.44000000006</v>
      </c>
      <c r="G87" s="192">
        <f>F87-E87</f>
        <v>-728.5599999999395</v>
      </c>
      <c r="H87" s="193">
        <f>F87/E87*100</f>
        <v>99.66955283317537</v>
      </c>
      <c r="I87" s="194">
        <f>F87-D87</f>
        <v>-1455806.8900000001</v>
      </c>
      <c r="J87" s="194">
        <f t="shared" si="24"/>
        <v>13.114961712425222</v>
      </c>
      <c r="K87" s="194">
        <f>K64+K86</f>
        <v>148383.13</v>
      </c>
      <c r="L87" s="194">
        <f>F87-K87</f>
        <v>71365.31000000006</v>
      </c>
      <c r="M87" s="221">
        <f t="shared" si="23"/>
        <v>1.4809529897367717</v>
      </c>
      <c r="N87" s="192">
        <f>N64+N86</f>
        <v>110041.6</v>
      </c>
      <c r="O87" s="192">
        <f>O64+O86</f>
        <v>108741.62</v>
      </c>
      <c r="P87" s="194">
        <f t="shared" si="21"/>
        <v>-1299.9800000000105</v>
      </c>
      <c r="Q87" s="194">
        <f>O87/N87*100</f>
        <v>98.81864676631382</v>
      </c>
      <c r="R87" s="27">
        <f>O87-42872.96</f>
        <v>65868.66</v>
      </c>
      <c r="S87" s="95">
        <f>O87/42872.96</f>
        <v>2.5363683776440906</v>
      </c>
      <c r="T87" s="147">
        <f t="shared" si="22"/>
        <v>1455078.33</v>
      </c>
    </row>
    <row r="88" spans="2:20" ht="15" hidden="1">
      <c r="B88" s="20" t="s">
        <v>34</v>
      </c>
      <c r="O88" s="25"/>
      <c r="T88" s="147">
        <f t="shared" si="22"/>
        <v>0</v>
      </c>
    </row>
    <row r="89" spans="2:20" ht="15" hidden="1">
      <c r="B89" s="4" t="s">
        <v>36</v>
      </c>
      <c r="C89" s="76">
        <v>0</v>
      </c>
      <c r="D89" s="4" t="s">
        <v>35</v>
      </c>
      <c r="O89" s="78"/>
      <c r="T89" s="147" t="e">
        <f t="shared" si="22"/>
        <v>#VALUE!</v>
      </c>
    </row>
    <row r="90" spans="2:20" ht="30.75" hidden="1">
      <c r="B90" s="52" t="s">
        <v>53</v>
      </c>
      <c r="C90" s="29" t="e">
        <f>IF(P64&lt;0,ABS(P64/C89),0)</f>
        <v>#DIV/0!</v>
      </c>
      <c r="D90" s="4" t="s">
        <v>24</v>
      </c>
      <c r="G90" s="314"/>
      <c r="H90" s="314"/>
      <c r="I90" s="314"/>
      <c r="J90" s="314"/>
      <c r="K90" s="84"/>
      <c r="L90" s="84"/>
      <c r="M90" s="84"/>
      <c r="Q90" s="25"/>
      <c r="R90" s="25"/>
      <c r="T90" s="147" t="e">
        <f t="shared" si="22"/>
        <v>#VALUE!</v>
      </c>
    </row>
    <row r="91" spans="2:20" ht="34.5" customHeight="1" hidden="1">
      <c r="B91" s="53" t="s">
        <v>55</v>
      </c>
      <c r="C91" s="81">
        <v>42794</v>
      </c>
      <c r="D91" s="29">
        <v>11703.5</v>
      </c>
      <c r="G91" s="4" t="s">
        <v>58</v>
      </c>
      <c r="O91" s="303"/>
      <c r="P91" s="303"/>
      <c r="T91" s="147">
        <f t="shared" si="22"/>
        <v>11703.5</v>
      </c>
    </row>
    <row r="92" spans="3:16" ht="15" hidden="1">
      <c r="C92" s="81">
        <v>42793</v>
      </c>
      <c r="D92" s="29">
        <v>10341.3</v>
      </c>
      <c r="F92" s="113" t="s">
        <v>58</v>
      </c>
      <c r="G92" s="297"/>
      <c r="H92" s="297"/>
      <c r="I92" s="118"/>
      <c r="J92" s="300"/>
      <c r="K92" s="300"/>
      <c r="L92" s="300"/>
      <c r="M92" s="300"/>
      <c r="N92" s="300"/>
      <c r="O92" s="303"/>
      <c r="P92" s="303"/>
    </row>
    <row r="93" spans="3:16" ht="15.75" customHeight="1" hidden="1">
      <c r="C93" s="81">
        <v>42790</v>
      </c>
      <c r="D93" s="29">
        <v>4206.9</v>
      </c>
      <c r="F93" s="68"/>
      <c r="G93" s="297"/>
      <c r="H93" s="297"/>
      <c r="I93" s="118"/>
      <c r="J93" s="304"/>
      <c r="K93" s="304"/>
      <c r="L93" s="304"/>
      <c r="M93" s="304"/>
      <c r="N93" s="304"/>
      <c r="O93" s="303"/>
      <c r="P93" s="303"/>
    </row>
    <row r="94" spans="3:14" ht="15.75" customHeight="1" hidden="1">
      <c r="C94" s="81"/>
      <c r="F94" s="68"/>
      <c r="G94" s="299"/>
      <c r="H94" s="299"/>
      <c r="I94" s="124"/>
      <c r="J94" s="300"/>
      <c r="K94" s="300"/>
      <c r="L94" s="300"/>
      <c r="M94" s="300"/>
      <c r="N94" s="300"/>
    </row>
    <row r="95" spans="2:14" ht="18.75" customHeight="1" hidden="1">
      <c r="B95" s="301" t="s">
        <v>56</v>
      </c>
      <c r="C95" s="302"/>
      <c r="D95" s="133">
        <v>7713.34596</v>
      </c>
      <c r="E95" s="69"/>
      <c r="F95" s="125" t="s">
        <v>107</v>
      </c>
      <c r="G95" s="297"/>
      <c r="H95" s="297"/>
      <c r="I95" s="126"/>
      <c r="J95" s="300"/>
      <c r="K95" s="300"/>
      <c r="L95" s="300"/>
      <c r="M95" s="300"/>
      <c r="N95" s="300"/>
    </row>
    <row r="96" spans="6:13" ht="9.75" customHeight="1" hidden="1">
      <c r="F96" s="68"/>
      <c r="G96" s="297"/>
      <c r="H96" s="297"/>
      <c r="I96" s="68"/>
      <c r="J96" s="69"/>
      <c r="K96" s="69"/>
      <c r="L96" s="69"/>
      <c r="M96" s="69"/>
    </row>
    <row r="97" spans="2:13" ht="22.5" customHeight="1" hidden="1">
      <c r="B97" s="295" t="s">
        <v>59</v>
      </c>
      <c r="C97" s="296"/>
      <c r="D97" s="80">
        <v>0</v>
      </c>
      <c r="E97" s="51" t="s">
        <v>24</v>
      </c>
      <c r="F97" s="68"/>
      <c r="G97" s="297"/>
      <c r="H97" s="297"/>
      <c r="I97" s="68"/>
      <c r="J97" s="69"/>
      <c r="K97" s="69"/>
      <c r="L97" s="69"/>
      <c r="M97" s="69"/>
    </row>
    <row r="98" spans="4:16" ht="15" hidden="1">
      <c r="D98" s="68">
        <f>D45+D48+D49</f>
        <v>1060</v>
      </c>
      <c r="E98" s="68">
        <f>E45+E48+E49</f>
        <v>172</v>
      </c>
      <c r="F98" s="203">
        <f>F45+F48+F49</f>
        <v>282.83</v>
      </c>
      <c r="G98" s="68">
        <f>G45+G48+G49</f>
        <v>110.82999999999998</v>
      </c>
      <c r="H98" s="69"/>
      <c r="I98" s="69"/>
      <c r="N98" s="29">
        <f>N45+N48+N49</f>
        <v>86</v>
      </c>
      <c r="O98" s="202">
        <f>O45+O48+O49</f>
        <v>148.84999999999997</v>
      </c>
      <c r="P98" s="29">
        <f>P45+P48+P49</f>
        <v>62.84999999999998</v>
      </c>
    </row>
    <row r="99" spans="4:16" ht="15" hidden="1">
      <c r="D99" s="78"/>
      <c r="I99" s="29"/>
      <c r="O99" s="298"/>
      <c r="P99" s="298"/>
    </row>
    <row r="100" spans="2:17" ht="15" hidden="1">
      <c r="B100" s="4" t="s">
        <v>119</v>
      </c>
      <c r="D100" s="29">
        <f>D9+D15+D17+D18+D19+D20+D39+D42+D56+D62+D63</f>
        <v>1299048.6</v>
      </c>
      <c r="E100" s="29">
        <f>E9+E15+E17+E18+E19+E20+E39+E42+E56+E62+E63</f>
        <v>196330.5</v>
      </c>
      <c r="F100" s="229">
        <f>F9+F15+F17+F18+F19+F20+F39+F42+F56+F62+F63</f>
        <v>194847.62000000005</v>
      </c>
      <c r="G100" s="29">
        <f>F100-E100</f>
        <v>-1482.8799999999464</v>
      </c>
      <c r="H100" s="230">
        <f>F100/E100</f>
        <v>0.9924470217312137</v>
      </c>
      <c r="I100" s="29">
        <f>F100-D100</f>
        <v>-1104200.98</v>
      </c>
      <c r="J100" s="230">
        <f>F100/D100</f>
        <v>0.14999255609066514</v>
      </c>
      <c r="N100" s="29">
        <f>N9+N15+N17+N18+N19+N20+N39+N42+N44+N56+N62+N63</f>
        <v>101968.6</v>
      </c>
      <c r="O100" s="229">
        <f>O9+O15+O17+O18+O19+O20+O39+O42+O44+O56+O62+O63</f>
        <v>100979.31</v>
      </c>
      <c r="P100" s="29">
        <f>O100-N100</f>
        <v>-989.2900000000081</v>
      </c>
      <c r="Q100" s="230">
        <f>O100/N100</f>
        <v>0.9902980917655042</v>
      </c>
    </row>
    <row r="101" spans="2:17" ht="15" hidden="1">
      <c r="B101" s="4" t="s">
        <v>120</v>
      </c>
      <c r="D101" s="29">
        <f>D40+D41+D43+D45+D47+D48+D49+D50+D51+D57+D61+D44</f>
        <v>58442.5</v>
      </c>
      <c r="E101" s="29">
        <f>E40+E41+E43+E45+E47+E48+E49+E50+E51+E57+E61+E44</f>
        <v>7691.6</v>
      </c>
      <c r="F101" s="229">
        <f>F40+F41+F43+F45+F47+F48+F49+F50+F51+F57+F61+F44</f>
        <v>8678.749999999998</v>
      </c>
      <c r="G101" s="29">
        <f>G40+G41+G43+G45+G47+G48+G49+G50+G51+G57+G61+G44</f>
        <v>987.1499999999996</v>
      </c>
      <c r="H101" s="230">
        <f>F101/E101</f>
        <v>1.1283413074002806</v>
      </c>
      <c r="I101" s="29">
        <f>I40+I41+I43+I45+I47+I48+I49+I50+I51+I57+I61+I44</f>
        <v>-49763.74999999999</v>
      </c>
      <c r="J101" s="230">
        <f>F101/D101</f>
        <v>0.14850066304487314</v>
      </c>
      <c r="K101" s="29">
        <f aca="true" t="shared" si="25" ref="K101:P101">K40+K41+K43+K45+K47+K48+K49+K50+K51+K57+K61+K44</f>
        <v>4835.679999999999</v>
      </c>
      <c r="L101" s="29">
        <f t="shared" si="25"/>
        <v>3843.0699999999997</v>
      </c>
      <c r="M101" s="29">
        <f t="shared" si="25"/>
        <v>32.174115396616955</v>
      </c>
      <c r="N101" s="29">
        <f t="shared" si="25"/>
        <v>4703.8</v>
      </c>
      <c r="O101" s="229">
        <f t="shared" si="25"/>
        <v>4460.869999999999</v>
      </c>
      <c r="P101" s="29">
        <f t="shared" si="25"/>
        <v>-236.13000000000017</v>
      </c>
      <c r="Q101" s="230">
        <f>O101/N101</f>
        <v>0.9483545218759298</v>
      </c>
    </row>
    <row r="102" spans="2:17" ht="15" hidden="1">
      <c r="B102" s="4" t="s">
        <v>121</v>
      </c>
      <c r="D102" s="29">
        <f>SUM(D100:D101)</f>
        <v>1357491.1</v>
      </c>
      <c r="E102" s="29">
        <f aca="true" t="shared" si="26" ref="E102:P102">SUM(E100:E101)</f>
        <v>204022.1</v>
      </c>
      <c r="F102" s="229">
        <f t="shared" si="26"/>
        <v>203526.37000000005</v>
      </c>
      <c r="G102" s="29">
        <f t="shared" si="26"/>
        <v>-495.7299999999468</v>
      </c>
      <c r="H102" s="230">
        <f>F102/E102</f>
        <v>0.9975702142071866</v>
      </c>
      <c r="I102" s="29">
        <f t="shared" si="26"/>
        <v>-1153964.73</v>
      </c>
      <c r="J102" s="230">
        <f>F102/D102</f>
        <v>0.14992832733857336</v>
      </c>
      <c r="K102" s="29">
        <f t="shared" si="26"/>
        <v>4835.679999999999</v>
      </c>
      <c r="L102" s="29">
        <f t="shared" si="26"/>
        <v>3843.0699999999997</v>
      </c>
      <c r="M102" s="29">
        <f t="shared" si="26"/>
        <v>32.174115396616955</v>
      </c>
      <c r="N102" s="29">
        <f t="shared" si="26"/>
        <v>106672.40000000001</v>
      </c>
      <c r="O102" s="229">
        <f t="shared" si="26"/>
        <v>105440.18</v>
      </c>
      <c r="P102" s="29">
        <f t="shared" si="26"/>
        <v>-1225.4200000000083</v>
      </c>
      <c r="Q102" s="230">
        <f>O102/N102</f>
        <v>0.9884485583899864</v>
      </c>
    </row>
    <row r="103" spans="4:21" ht="15" hidden="1">
      <c r="D103" s="29">
        <f>D64-D102</f>
        <v>0</v>
      </c>
      <c r="E103" s="29">
        <f aca="true" t="shared" si="27" ref="E103:U103">E64-E102</f>
        <v>0</v>
      </c>
      <c r="F103" s="29">
        <f t="shared" si="27"/>
        <v>0</v>
      </c>
      <c r="G103" s="29">
        <f t="shared" si="27"/>
        <v>-5.4569682106375694E-12</v>
      </c>
      <c r="H103" s="230"/>
      <c r="I103" s="29">
        <f t="shared" si="27"/>
        <v>0</v>
      </c>
      <c r="J103" s="230"/>
      <c r="K103" s="29">
        <f t="shared" si="27"/>
        <v>140507.58000000002</v>
      </c>
      <c r="L103" s="29">
        <f t="shared" si="27"/>
        <v>54340.040000000045</v>
      </c>
      <c r="M103" s="29">
        <f t="shared" si="27"/>
        <v>-30.77380023924399</v>
      </c>
      <c r="N103" s="29">
        <f t="shared" si="27"/>
        <v>-6.80000000000291</v>
      </c>
      <c r="O103" s="29">
        <f t="shared" si="27"/>
        <v>0</v>
      </c>
      <c r="P103" s="29">
        <f t="shared" si="27"/>
        <v>-4.547473508864641E-12</v>
      </c>
      <c r="Q103" s="29"/>
      <c r="R103" s="29">
        <f t="shared" si="27"/>
        <v>70672.18</v>
      </c>
      <c r="S103" s="29">
        <f t="shared" si="27"/>
        <v>3.0326789001380576</v>
      </c>
      <c r="T103" s="29">
        <f t="shared" si="27"/>
        <v>1153469</v>
      </c>
      <c r="U103" s="29">
        <f t="shared" si="27"/>
        <v>0</v>
      </c>
    </row>
    <row r="104" spans="2:19" ht="15">
      <c r="B104" s="241" t="s">
        <v>155</v>
      </c>
      <c r="C104" s="239">
        <v>40000000</v>
      </c>
      <c r="D104" s="248">
        <v>1222868.688</v>
      </c>
      <c r="E104" s="248">
        <v>394692.28127</v>
      </c>
      <c r="F104" s="248">
        <v>390365.16646000004</v>
      </c>
      <c r="G104" s="248">
        <f aca="true" t="shared" si="28" ref="G104:G114">F104-E104</f>
        <v>-4327.114809999941</v>
      </c>
      <c r="H104" s="248">
        <f aca="true" t="shared" si="29" ref="H104:H114">IF(E104=0,0,F104/E104*100)</f>
        <v>98.90367382000058</v>
      </c>
      <c r="I104" s="36">
        <f aca="true" t="shared" si="30" ref="I104:I114">F104-D104</f>
        <v>-832503.5215400001</v>
      </c>
      <c r="J104" s="36">
        <f>F104/D104*100</f>
        <v>31.922083727439425</v>
      </c>
      <c r="Q104" s="89"/>
      <c r="S104" s="4"/>
    </row>
    <row r="105" spans="2:19" ht="15" hidden="1">
      <c r="B105" s="240" t="s">
        <v>156</v>
      </c>
      <c r="C105" s="239">
        <v>41000000</v>
      </c>
      <c r="D105" s="248">
        <v>1222868.688</v>
      </c>
      <c r="E105" s="248">
        <v>394692.28127</v>
      </c>
      <c r="F105" s="248">
        <v>390365.16646000004</v>
      </c>
      <c r="G105" s="248">
        <f t="shared" si="28"/>
        <v>-4327.114809999941</v>
      </c>
      <c r="H105" s="248">
        <f t="shared" si="29"/>
        <v>98.90367382000058</v>
      </c>
      <c r="I105" s="36">
        <f t="shared" si="30"/>
        <v>-832503.5215400001</v>
      </c>
      <c r="J105" s="36">
        <f aca="true" t="shared" si="31" ref="J105:J114">F105/D105*100</f>
        <v>31.922083727439425</v>
      </c>
      <c r="Q105" s="89"/>
      <c r="S105" s="4"/>
    </row>
    <row r="106" spans="2:19" ht="15">
      <c r="B106" s="240" t="s">
        <v>157</v>
      </c>
      <c r="C106" s="239">
        <v>41030000</v>
      </c>
      <c r="D106" s="248">
        <v>1222868.688</v>
      </c>
      <c r="E106" s="248">
        <v>394692.28127</v>
      </c>
      <c r="F106" s="248">
        <v>390365.16646000004</v>
      </c>
      <c r="G106" s="248">
        <f t="shared" si="28"/>
        <v>-4327.114809999941</v>
      </c>
      <c r="H106" s="248">
        <f t="shared" si="29"/>
        <v>98.90367382000058</v>
      </c>
      <c r="I106" s="36">
        <f t="shared" si="30"/>
        <v>-832503.5215400001</v>
      </c>
      <c r="J106" s="36">
        <f t="shared" si="31"/>
        <v>31.922083727439425</v>
      </c>
      <c r="Q106" s="89"/>
      <c r="S106" s="4"/>
    </row>
    <row r="107" spans="2:19" ht="63">
      <c r="B107" s="240" t="s">
        <v>158</v>
      </c>
      <c r="C107" s="239">
        <v>41030600</v>
      </c>
      <c r="D107" s="248">
        <v>311813.4</v>
      </c>
      <c r="E107" s="248">
        <v>50035.4</v>
      </c>
      <c r="F107" s="248">
        <v>46690.528</v>
      </c>
      <c r="G107" s="248">
        <f t="shared" si="28"/>
        <v>-3344.872000000003</v>
      </c>
      <c r="H107" s="248">
        <f t="shared" si="29"/>
        <v>93.31498898779664</v>
      </c>
      <c r="I107" s="36">
        <f t="shared" si="30"/>
        <v>-265122.87200000003</v>
      </c>
      <c r="J107" s="36">
        <f t="shared" si="31"/>
        <v>14.973868345619525</v>
      </c>
      <c r="Q107" s="89"/>
      <c r="S107" s="4"/>
    </row>
    <row r="108" spans="2:19" ht="63">
      <c r="B108" s="240" t="s">
        <v>159</v>
      </c>
      <c r="C108" s="239">
        <v>41030800</v>
      </c>
      <c r="D108" s="248">
        <v>408648.2</v>
      </c>
      <c r="E108" s="248">
        <v>264243.41127</v>
      </c>
      <c r="F108" s="248">
        <v>264243.29446</v>
      </c>
      <c r="G108" s="248">
        <f t="shared" si="28"/>
        <v>-0.11680999997770414</v>
      </c>
      <c r="H108" s="248">
        <f t="shared" si="29"/>
        <v>99.99995579454585</v>
      </c>
      <c r="I108" s="36">
        <f t="shared" si="30"/>
        <v>-144404.90554</v>
      </c>
      <c r="J108" s="36">
        <f t="shared" si="31"/>
        <v>64.66278193810714</v>
      </c>
      <c r="Q108" s="89"/>
      <c r="S108" s="4"/>
    </row>
    <row r="109" spans="2:19" ht="51">
      <c r="B109" s="240" t="s">
        <v>160</v>
      </c>
      <c r="C109" s="239">
        <v>41031000</v>
      </c>
      <c r="D109" s="248">
        <v>227.7</v>
      </c>
      <c r="E109" s="248">
        <v>38</v>
      </c>
      <c r="F109" s="248">
        <v>30.833</v>
      </c>
      <c r="G109" s="248">
        <f t="shared" si="28"/>
        <v>-7.167000000000002</v>
      </c>
      <c r="H109" s="248">
        <f t="shared" si="29"/>
        <v>81.13947368421051</v>
      </c>
      <c r="I109" s="36">
        <f t="shared" si="30"/>
        <v>-196.867</v>
      </c>
      <c r="J109" s="36">
        <f t="shared" si="31"/>
        <v>13.541062801932366</v>
      </c>
      <c r="Q109" s="89"/>
      <c r="S109" s="4"/>
    </row>
    <row r="110" spans="2:19" ht="25.5">
      <c r="B110" s="240" t="s">
        <v>161</v>
      </c>
      <c r="C110" s="239">
        <v>41033900</v>
      </c>
      <c r="D110" s="248">
        <v>243334.5</v>
      </c>
      <c r="E110" s="248">
        <v>37454.8</v>
      </c>
      <c r="F110" s="248">
        <v>37454.8</v>
      </c>
      <c r="G110" s="248">
        <f t="shared" si="28"/>
        <v>0</v>
      </c>
      <c r="H110" s="248">
        <f t="shared" si="29"/>
        <v>100</v>
      </c>
      <c r="I110" s="36">
        <f t="shared" si="30"/>
        <v>-205879.7</v>
      </c>
      <c r="J110" s="36">
        <f t="shared" si="31"/>
        <v>15.392309762898398</v>
      </c>
      <c r="Q110" s="89"/>
      <c r="S110" s="4"/>
    </row>
    <row r="111" spans="2:19" ht="25.5">
      <c r="B111" s="240" t="s">
        <v>162</v>
      </c>
      <c r="C111" s="239">
        <v>41034200</v>
      </c>
      <c r="D111" s="248">
        <v>238249.5</v>
      </c>
      <c r="E111" s="248">
        <v>39685.1</v>
      </c>
      <c r="F111" s="248">
        <v>39685.1</v>
      </c>
      <c r="G111" s="248">
        <f t="shared" si="28"/>
        <v>0</v>
      </c>
      <c r="H111" s="248">
        <f t="shared" si="29"/>
        <v>100</v>
      </c>
      <c r="I111" s="36">
        <f t="shared" si="30"/>
        <v>-198564.4</v>
      </c>
      <c r="J111" s="36">
        <f t="shared" si="31"/>
        <v>16.65694996211954</v>
      </c>
      <c r="Q111" s="89"/>
      <c r="S111" s="4"/>
    </row>
    <row r="112" spans="2:19" ht="15">
      <c r="B112" s="240" t="s">
        <v>163</v>
      </c>
      <c r="C112" s="239">
        <v>41035000</v>
      </c>
      <c r="D112" s="248">
        <v>16239.088</v>
      </c>
      <c r="E112" s="248">
        <v>2651.87</v>
      </c>
      <c r="F112" s="248">
        <v>1702.513</v>
      </c>
      <c r="G112" s="248">
        <f t="shared" si="28"/>
        <v>-949.357</v>
      </c>
      <c r="H112" s="248">
        <f t="shared" si="29"/>
        <v>64.20046985711969</v>
      </c>
      <c r="I112" s="36">
        <f t="shared" si="30"/>
        <v>-14536.575</v>
      </c>
      <c r="J112" s="36">
        <f t="shared" si="31"/>
        <v>10.484043192573376</v>
      </c>
      <c r="Q112" s="89"/>
      <c r="S112" s="4"/>
    </row>
    <row r="113" spans="2:19" ht="63">
      <c r="B113" s="240" t="s">
        <v>164</v>
      </c>
      <c r="C113" s="239">
        <v>41035800</v>
      </c>
      <c r="D113" s="248">
        <v>4356.3</v>
      </c>
      <c r="E113" s="248">
        <v>583.7</v>
      </c>
      <c r="F113" s="248">
        <v>558.098</v>
      </c>
      <c r="G113" s="248">
        <f t="shared" si="28"/>
        <v>-25.60200000000009</v>
      </c>
      <c r="H113" s="248">
        <f t="shared" si="29"/>
        <v>95.61384272742845</v>
      </c>
      <c r="I113" s="36">
        <f t="shared" si="30"/>
        <v>-3798.202</v>
      </c>
      <c r="J113" s="36">
        <f t="shared" si="31"/>
        <v>12.811284805913273</v>
      </c>
      <c r="Q113" s="89"/>
      <c r="S113" s="4"/>
    </row>
    <row r="114" spans="2:17" s="242" customFormat="1" ht="25.5" customHeight="1">
      <c r="B114" s="247" t="s">
        <v>166</v>
      </c>
      <c r="C114" s="243"/>
      <c r="D114" s="245">
        <f>D104+D87</f>
        <v>2898424.018</v>
      </c>
      <c r="E114" s="245">
        <f>E104+E87</f>
        <v>615169.2812699999</v>
      </c>
      <c r="F114" s="245">
        <f>F104+F87</f>
        <v>610113.6064600002</v>
      </c>
      <c r="G114" s="249">
        <f t="shared" si="28"/>
        <v>-5055.674809999764</v>
      </c>
      <c r="H114" s="245">
        <f t="shared" si="29"/>
        <v>99.17816526866191</v>
      </c>
      <c r="I114" s="246">
        <f t="shared" si="30"/>
        <v>-2288310.41154</v>
      </c>
      <c r="J114" s="246">
        <f t="shared" si="31"/>
        <v>21.049839591137427</v>
      </c>
      <c r="Q114" s="244"/>
    </row>
  </sheetData>
  <sheetProtection/>
  <mergeCells count="37">
    <mergeCell ref="B97:C97"/>
    <mergeCell ref="G97:H97"/>
    <mergeCell ref="O99:P99"/>
    <mergeCell ref="G94:H94"/>
    <mergeCell ref="J94:N94"/>
    <mergeCell ref="B95:C95"/>
    <mergeCell ref="G95:H95"/>
    <mergeCell ref="J95:N95"/>
    <mergeCell ref="G96:H96"/>
    <mergeCell ref="G92:H92"/>
    <mergeCell ref="J92:N92"/>
    <mergeCell ref="O92:P92"/>
    <mergeCell ref="G93:H93"/>
    <mergeCell ref="J93:N93"/>
    <mergeCell ref="O93:P93"/>
    <mergeCell ref="P4:P5"/>
    <mergeCell ref="Q4:Q5"/>
    <mergeCell ref="K5:M5"/>
    <mergeCell ref="R5:S5"/>
    <mergeCell ref="G90:J90"/>
    <mergeCell ref="O91:P91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2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2017-05-15T08:42:47Z</cp:lastPrinted>
  <dcterms:created xsi:type="dcterms:W3CDTF">2003-07-28T11:27:56Z</dcterms:created>
  <dcterms:modified xsi:type="dcterms:W3CDTF">2017-05-16T14:06:35Z</dcterms:modified>
  <cp:category/>
  <cp:version/>
  <cp:contentType/>
  <cp:contentStatus/>
</cp:coreProperties>
</file>